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T:\mediamb\MONTSENY\ESTUDI PLUVIALS\APLICATIU_SIMULADOR\"/>
    </mc:Choice>
  </mc:AlternateContent>
  <xr:revisionPtr revIDLastSave="0" documentId="13_ncr:1_{872AD374-B423-4E2C-BB8E-38AD5FAD4E81}" xr6:coauthVersionLast="47" xr6:coauthVersionMax="47" xr10:uidLastSave="{00000000-0000-0000-0000-000000000000}"/>
  <workbookProtection workbookAlgorithmName="SHA-512" workbookHashValue="toVyUOmGx3h0gZmJ/pGHEhD+luE3fOweFB+HstI33pD63GXYK/BNg8bd1d1w2Av1oM1Pzgb4a/0RxjNV/E8nFw==" workbookSaltValue="i2YnKW0jQLw79riIfCHRBw==" workbookSpinCount="100000" lockStructure="1"/>
  <bookViews>
    <workbookView xWindow="-120" yWindow="-120" windowWidth="29040" windowHeight="15720" tabRatio="855" xr2:uid="{00000000-000D-0000-FFFF-FFFF00000000}"/>
  </bookViews>
  <sheets>
    <sheet name="APLICATIU" sheetId="1" r:id="rId1"/>
    <sheet name="Full1" sheetId="18" state="hidden" r:id="rId2"/>
    <sheet name="Xarxa pluviòmetres" sheetId="8" state="hidden" r:id="rId3"/>
    <sheet name="Esquema cloració" sheetId="13" state="hidden" r:id="rId4"/>
    <sheet name="Esquema UV" sheetId="15" state="hidden" r:id="rId5"/>
    <sheet name="Dades meteorològiques" sheetId="16" r:id="rId6"/>
    <sheet name="Aigua recollida" sheetId="2" state="hidden" r:id="rId7"/>
    <sheet name="Pluviometres_CAT" sheetId="17" state="hidden" r:id="rId8"/>
    <sheet name="Balanç anual" sheetId="12" state="hidden" r:id="rId9"/>
    <sheet name="Consum" sheetId="3" state="hidden" r:id="rId10"/>
    <sheet name="Necessitats de reg" sheetId="7" state="hidden" r:id="rId11"/>
    <sheet name="Tarifes" sheetId="5" state="hidden" r:id="rId12"/>
    <sheet name="Pressupost" sheetId="6" state="hidden" r:id="rId13"/>
    <sheet name="Formularis" sheetId="4" state="hidden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7" i="1" l="1"/>
  <c r="O7" i="16"/>
  <c r="A56" i="7"/>
  <c r="A13" i="2" l="1"/>
  <c r="P7" i="2"/>
  <c r="P6" i="2" l="1"/>
  <c r="A4" i="12"/>
  <c r="B9" i="2" l="1"/>
  <c r="C9" i="2" l="1"/>
  <c r="O21" i="12" s="1"/>
  <c r="B21" i="12"/>
  <c r="D9" i="2"/>
  <c r="AB21" i="12" s="1"/>
  <c r="E9" i="2"/>
  <c r="AC21" i="12" s="1"/>
  <c r="F9" i="2"/>
  <c r="R21" i="12" s="1"/>
  <c r="G9" i="2"/>
  <c r="S21" i="12" s="1"/>
  <c r="H9" i="2"/>
  <c r="H21" i="12" s="1"/>
  <c r="I9" i="2"/>
  <c r="I21" i="12" s="1"/>
  <c r="J9" i="2"/>
  <c r="J21" i="12" s="1"/>
  <c r="K9" i="2"/>
  <c r="K21" i="12" s="1"/>
  <c r="L9" i="2"/>
  <c r="L21" i="12" s="1"/>
  <c r="M9" i="2"/>
  <c r="Y21" i="12" s="1"/>
  <c r="C27" i="2"/>
  <c r="D27" i="2"/>
  <c r="E27" i="2"/>
  <c r="F27" i="2"/>
  <c r="G27" i="2"/>
  <c r="H27" i="2"/>
  <c r="I27" i="2"/>
  <c r="J27" i="2"/>
  <c r="K27" i="2"/>
  <c r="L27" i="2"/>
  <c r="M27" i="2"/>
  <c r="B27" i="2"/>
  <c r="C50" i="7"/>
  <c r="D50" i="7"/>
  <c r="E50" i="7"/>
  <c r="F50" i="7"/>
  <c r="G50" i="7"/>
  <c r="H50" i="7"/>
  <c r="I50" i="7"/>
  <c r="J50" i="7"/>
  <c r="K50" i="7"/>
  <c r="L50" i="7"/>
  <c r="M50" i="7"/>
  <c r="B50" i="7"/>
  <c r="C43" i="7"/>
  <c r="D43" i="7"/>
  <c r="E43" i="7"/>
  <c r="F43" i="7"/>
  <c r="G43" i="7"/>
  <c r="H43" i="7"/>
  <c r="I43" i="7"/>
  <c r="J43" i="7"/>
  <c r="K43" i="7"/>
  <c r="L43" i="7"/>
  <c r="M43" i="7"/>
  <c r="B43" i="7"/>
  <c r="C36" i="7"/>
  <c r="D36" i="7"/>
  <c r="E36" i="7"/>
  <c r="F36" i="7"/>
  <c r="G36" i="7"/>
  <c r="H36" i="7"/>
  <c r="I36" i="7"/>
  <c r="J36" i="7"/>
  <c r="K36" i="7"/>
  <c r="L36" i="7"/>
  <c r="M36" i="7"/>
  <c r="B36" i="7"/>
  <c r="C29" i="7"/>
  <c r="D29" i="7"/>
  <c r="E29" i="7"/>
  <c r="F29" i="7"/>
  <c r="G29" i="7"/>
  <c r="H29" i="7"/>
  <c r="I29" i="7"/>
  <c r="J29" i="7"/>
  <c r="K29" i="7"/>
  <c r="L29" i="7"/>
  <c r="M29" i="7"/>
  <c r="B29" i="7"/>
  <c r="C22" i="7"/>
  <c r="D22" i="7"/>
  <c r="E22" i="7"/>
  <c r="F22" i="7"/>
  <c r="G22" i="7"/>
  <c r="H22" i="7"/>
  <c r="I22" i="7"/>
  <c r="J22" i="7"/>
  <c r="K22" i="7"/>
  <c r="L22" i="7"/>
  <c r="M22" i="7"/>
  <c r="B22" i="7"/>
  <c r="C15" i="7"/>
  <c r="D15" i="7"/>
  <c r="E15" i="7"/>
  <c r="F15" i="7"/>
  <c r="G15" i="7"/>
  <c r="H15" i="7"/>
  <c r="I15" i="7"/>
  <c r="J15" i="7"/>
  <c r="K15" i="7"/>
  <c r="L15" i="7"/>
  <c r="M15" i="7"/>
  <c r="B15" i="7"/>
  <c r="D8" i="7"/>
  <c r="E8" i="7"/>
  <c r="F8" i="7"/>
  <c r="G8" i="7"/>
  <c r="H8" i="7"/>
  <c r="I8" i="7"/>
  <c r="J8" i="7"/>
  <c r="K8" i="7"/>
  <c r="L8" i="7"/>
  <c r="M8" i="7"/>
  <c r="C8" i="7"/>
  <c r="B8" i="7"/>
  <c r="O11" i="16"/>
  <c r="J58" i="7" l="1"/>
  <c r="J16" i="2"/>
  <c r="K58" i="7"/>
  <c r="K16" i="2"/>
  <c r="M58" i="7"/>
  <c r="M16" i="2"/>
  <c r="H58" i="7"/>
  <c r="H16" i="2"/>
  <c r="G58" i="7"/>
  <c r="G16" i="2"/>
  <c r="I58" i="7"/>
  <c r="I16" i="2"/>
  <c r="L58" i="7"/>
  <c r="L16" i="2"/>
  <c r="F58" i="7"/>
  <c r="F16" i="2"/>
  <c r="E58" i="7"/>
  <c r="E16" i="2"/>
  <c r="D58" i="7"/>
  <c r="D16" i="2"/>
  <c r="C58" i="7"/>
  <c r="C16" i="2"/>
  <c r="B58" i="7"/>
  <c r="B16" i="2"/>
  <c r="P21" i="12"/>
  <c r="G21" i="12"/>
  <c r="F21" i="12"/>
  <c r="E21" i="12"/>
  <c r="Q21" i="12"/>
  <c r="D21" i="12"/>
  <c r="C21" i="12"/>
  <c r="AA21" i="12"/>
  <c r="AK21" i="12"/>
  <c r="AJ21" i="12"/>
  <c r="X21" i="12"/>
  <c r="AI21" i="12"/>
  <c r="M21" i="12"/>
  <c r="W21" i="12"/>
  <c r="AH21" i="12"/>
  <c r="V21" i="12"/>
  <c r="AG21" i="12"/>
  <c r="U21" i="12"/>
  <c r="AF21" i="12"/>
  <c r="T21" i="12"/>
  <c r="AE21" i="12"/>
  <c r="AD21" i="12"/>
  <c r="Z21" i="12"/>
  <c r="N21" i="12"/>
  <c r="N9" i="2"/>
  <c r="Q7" i="2" s="1"/>
  <c r="S34" i="1"/>
  <c r="U6" i="12" l="1"/>
  <c r="AG6" i="12"/>
  <c r="I6" i="12"/>
  <c r="H6" i="12"/>
  <c r="T6" i="12"/>
  <c r="AF6" i="12"/>
  <c r="M6" i="12"/>
  <c r="Y6" i="12"/>
  <c r="AK6" i="12"/>
  <c r="AI6" i="12"/>
  <c r="K6" i="12"/>
  <c r="W6" i="12"/>
  <c r="AH6" i="12"/>
  <c r="J6" i="12"/>
  <c r="V6" i="12"/>
  <c r="S6" i="12"/>
  <c r="AE6" i="12"/>
  <c r="G6" i="12"/>
  <c r="R6" i="12"/>
  <c r="F6" i="12"/>
  <c r="AD6" i="12"/>
  <c r="X6" i="12"/>
  <c r="AJ6" i="12"/>
  <c r="L6" i="12"/>
  <c r="AC6" i="12"/>
  <c r="Q6" i="12"/>
  <c r="E6" i="12"/>
  <c r="AB6" i="12"/>
  <c r="P6" i="12"/>
  <c r="D6" i="12"/>
  <c r="O6" i="12"/>
  <c r="AA6" i="12"/>
  <c r="C6" i="12"/>
  <c r="N16" i="2"/>
  <c r="Z6" i="12"/>
  <c r="N6" i="12"/>
  <c r="B6" i="12"/>
  <c r="E30" i="1"/>
  <c r="Q6" i="2" l="1"/>
  <c r="I9" i="1" s="1"/>
  <c r="F8" i="6"/>
  <c r="C12" i="3" l="1"/>
  <c r="C4" i="3" s="1"/>
  <c r="C11" i="3"/>
  <c r="C3" i="3" s="1"/>
  <c r="C10" i="3"/>
  <c r="C6" i="3" l="1"/>
  <c r="C5" i="3"/>
  <c r="C62" i="6"/>
  <c r="E62" i="6" s="1"/>
  <c r="B70" i="6"/>
  <c r="C20" i="6" l="1"/>
  <c r="E20" i="6" s="1"/>
  <c r="C39" i="6"/>
  <c r="E39" i="6" s="1"/>
  <c r="E31" i="6"/>
  <c r="C10" i="6"/>
  <c r="E10" i="6" s="1"/>
  <c r="C73" i="6"/>
  <c r="C9" i="6"/>
  <c r="AN6" i="12"/>
  <c r="B1" i="12"/>
  <c r="C40" i="6" l="1"/>
  <c r="E40" i="6" s="1"/>
  <c r="H15" i="3"/>
  <c r="H13" i="3"/>
  <c r="H10" i="3"/>
  <c r="H9" i="3"/>
  <c r="H14" i="3" l="1"/>
  <c r="H12" i="3"/>
  <c r="H11" i="3"/>
  <c r="H8" i="3"/>
  <c r="H7" i="3"/>
  <c r="H6" i="3"/>
  <c r="H5" i="3"/>
  <c r="H4" i="3"/>
  <c r="R11" i="7"/>
  <c r="H18" i="3" l="1"/>
  <c r="AA7" i="5" l="1"/>
  <c r="R21" i="7" l="1"/>
  <c r="S21" i="7" s="1"/>
  <c r="Q14" i="7"/>
  <c r="R18" i="7"/>
  <c r="S18" i="7" s="1"/>
  <c r="R20" i="7"/>
  <c r="S20" i="7" s="1"/>
  <c r="R16" i="7"/>
  <c r="S16" i="7" s="1"/>
  <c r="R14" i="7"/>
  <c r="R15" i="7"/>
  <c r="S15" i="7" s="1"/>
  <c r="Q21" i="7"/>
  <c r="Q20" i="7"/>
  <c r="Q18" i="7"/>
  <c r="Q16" i="7"/>
  <c r="Q15" i="7"/>
  <c r="Q11" i="7"/>
  <c r="B60" i="7"/>
  <c r="B62" i="7" s="1"/>
  <c r="B63" i="7" s="1"/>
  <c r="F60" i="7"/>
  <c r="F62" i="7" s="1"/>
  <c r="F63" i="7" s="1"/>
  <c r="G60" i="7"/>
  <c r="G62" i="7" s="1"/>
  <c r="G63" i="7" s="1"/>
  <c r="H60" i="7"/>
  <c r="H62" i="7" s="1"/>
  <c r="H63" i="7" s="1"/>
  <c r="I60" i="7"/>
  <c r="I62" i="7" s="1"/>
  <c r="I63" i="7" s="1"/>
  <c r="J60" i="7"/>
  <c r="J62" i="7" s="1"/>
  <c r="J63" i="7" s="1"/>
  <c r="K60" i="7"/>
  <c r="K62" i="7" s="1"/>
  <c r="K63" i="7" s="1"/>
  <c r="L60" i="7"/>
  <c r="L62" i="7" s="1"/>
  <c r="L63" i="7" s="1"/>
  <c r="M60" i="7"/>
  <c r="M62" i="7" s="1"/>
  <c r="M63" i="7" s="1"/>
  <c r="C60" i="7"/>
  <c r="C62" i="7" s="1"/>
  <c r="C63" i="7" s="1"/>
  <c r="D60" i="7"/>
  <c r="D62" i="7" s="1"/>
  <c r="D63" i="7" s="1"/>
  <c r="E60" i="7"/>
  <c r="E62" i="7" s="1"/>
  <c r="E63" i="7" s="1"/>
  <c r="C51" i="7"/>
  <c r="C52" i="7" s="1"/>
  <c r="D51" i="7"/>
  <c r="D52" i="7" s="1"/>
  <c r="E51" i="7"/>
  <c r="E52" i="7" s="1"/>
  <c r="F51" i="7"/>
  <c r="F52" i="7" s="1"/>
  <c r="G51" i="7"/>
  <c r="G52" i="7" s="1"/>
  <c r="H51" i="7"/>
  <c r="H52" i="7" s="1"/>
  <c r="I51" i="7"/>
  <c r="I52" i="7" s="1"/>
  <c r="J51" i="7"/>
  <c r="J52" i="7" s="1"/>
  <c r="K51" i="7"/>
  <c r="K52" i="7" s="1"/>
  <c r="L51" i="7"/>
  <c r="L52" i="7" s="1"/>
  <c r="M51" i="7"/>
  <c r="M52" i="7" s="1"/>
  <c r="B51" i="7"/>
  <c r="B52" i="7" s="1"/>
  <c r="D44" i="7"/>
  <c r="D45" i="7" s="1"/>
  <c r="E44" i="7"/>
  <c r="E45" i="7" s="1"/>
  <c r="F44" i="7"/>
  <c r="F45" i="7" s="1"/>
  <c r="G44" i="7"/>
  <c r="G45" i="7" s="1"/>
  <c r="H44" i="7"/>
  <c r="H45" i="7" s="1"/>
  <c r="I44" i="7"/>
  <c r="I45" i="7" s="1"/>
  <c r="J44" i="7"/>
  <c r="J45" i="7" s="1"/>
  <c r="K44" i="7"/>
  <c r="K45" i="7" s="1"/>
  <c r="L44" i="7"/>
  <c r="L45" i="7" s="1"/>
  <c r="M44" i="7"/>
  <c r="M45" i="7" s="1"/>
  <c r="C44" i="7"/>
  <c r="C45" i="7" s="1"/>
  <c r="B44" i="7"/>
  <c r="B45" i="7" s="1"/>
  <c r="F37" i="7"/>
  <c r="F38" i="7" s="1"/>
  <c r="G37" i="7"/>
  <c r="G38" i="7" s="1"/>
  <c r="H37" i="7"/>
  <c r="H38" i="7" s="1"/>
  <c r="I37" i="7"/>
  <c r="I38" i="7" s="1"/>
  <c r="J37" i="7"/>
  <c r="J38" i="7" s="1"/>
  <c r="K37" i="7"/>
  <c r="K38" i="7" s="1"/>
  <c r="L37" i="7"/>
  <c r="L38" i="7" s="1"/>
  <c r="M37" i="7"/>
  <c r="M38" i="7" s="1"/>
  <c r="E37" i="7"/>
  <c r="E38" i="7" s="1"/>
  <c r="D37" i="7"/>
  <c r="D38" i="7" s="1"/>
  <c r="C37" i="7"/>
  <c r="C38" i="7" s="1"/>
  <c r="B37" i="7"/>
  <c r="B38" i="7" s="1"/>
  <c r="F30" i="7"/>
  <c r="F31" i="7" s="1"/>
  <c r="G30" i="7"/>
  <c r="G31" i="7" s="1"/>
  <c r="H30" i="7"/>
  <c r="H31" i="7" s="1"/>
  <c r="I30" i="7"/>
  <c r="I31" i="7" s="1"/>
  <c r="J30" i="7"/>
  <c r="J31" i="7" s="1"/>
  <c r="K30" i="7"/>
  <c r="K31" i="7" s="1"/>
  <c r="L30" i="7"/>
  <c r="L31" i="7" s="1"/>
  <c r="M30" i="7"/>
  <c r="M31" i="7" s="1"/>
  <c r="E30" i="7"/>
  <c r="E31" i="7" s="1"/>
  <c r="D30" i="7"/>
  <c r="D31" i="7" s="1"/>
  <c r="C30" i="7"/>
  <c r="C31" i="7" s="1"/>
  <c r="B30" i="7"/>
  <c r="B31" i="7" s="1"/>
  <c r="E23" i="7"/>
  <c r="E24" i="7" s="1"/>
  <c r="F23" i="7"/>
  <c r="F24" i="7" s="1"/>
  <c r="G23" i="7"/>
  <c r="G24" i="7" s="1"/>
  <c r="H23" i="7"/>
  <c r="H24" i="7" s="1"/>
  <c r="I23" i="7"/>
  <c r="I24" i="7" s="1"/>
  <c r="J23" i="7"/>
  <c r="J24" i="7" s="1"/>
  <c r="K23" i="7"/>
  <c r="K24" i="7" s="1"/>
  <c r="L23" i="7"/>
  <c r="L24" i="7" s="1"/>
  <c r="M23" i="7"/>
  <c r="M24" i="7" s="1"/>
  <c r="D23" i="7"/>
  <c r="D24" i="7" s="1"/>
  <c r="C23" i="7"/>
  <c r="C24" i="7" s="1"/>
  <c r="B23" i="7"/>
  <c r="B24" i="7" s="1"/>
  <c r="E16" i="7"/>
  <c r="E17" i="7" s="1"/>
  <c r="F16" i="7"/>
  <c r="F17" i="7" s="1"/>
  <c r="G16" i="7"/>
  <c r="G17" i="7" s="1"/>
  <c r="H16" i="7"/>
  <c r="H17" i="7" s="1"/>
  <c r="I16" i="7"/>
  <c r="I17" i="7" s="1"/>
  <c r="J16" i="7"/>
  <c r="J17" i="7" s="1"/>
  <c r="K16" i="7"/>
  <c r="K17" i="7" s="1"/>
  <c r="L16" i="7"/>
  <c r="L17" i="7" s="1"/>
  <c r="M16" i="7"/>
  <c r="M17" i="7" s="1"/>
  <c r="D16" i="7"/>
  <c r="D17" i="7" s="1"/>
  <c r="C16" i="7"/>
  <c r="C17" i="7" s="1"/>
  <c r="B16" i="7"/>
  <c r="B17" i="7" s="1"/>
  <c r="D9" i="7"/>
  <c r="D10" i="7" s="1"/>
  <c r="E9" i="7"/>
  <c r="E10" i="7" s="1"/>
  <c r="F9" i="7"/>
  <c r="F10" i="7" s="1"/>
  <c r="G9" i="7"/>
  <c r="G10" i="7" s="1"/>
  <c r="H9" i="7"/>
  <c r="H10" i="7" s="1"/>
  <c r="I9" i="7"/>
  <c r="I10" i="7" s="1"/>
  <c r="J9" i="7"/>
  <c r="J10" i="7" s="1"/>
  <c r="K9" i="7"/>
  <c r="K10" i="7" s="1"/>
  <c r="L9" i="7"/>
  <c r="L10" i="7" s="1"/>
  <c r="M9" i="7"/>
  <c r="M10" i="7" s="1"/>
  <c r="C9" i="7"/>
  <c r="C10" i="7" s="1"/>
  <c r="B9" i="7"/>
  <c r="D25" i="7" l="1"/>
  <c r="D69" i="7" s="1"/>
  <c r="B25" i="7"/>
  <c r="B69" i="7" s="1"/>
  <c r="B39" i="7"/>
  <c r="B71" i="7" s="1"/>
  <c r="B53" i="7"/>
  <c r="B73" i="7" s="1"/>
  <c r="E39" i="7"/>
  <c r="E71" i="7" s="1"/>
  <c r="L39" i="7"/>
  <c r="L71" i="7" s="1"/>
  <c r="I39" i="7"/>
  <c r="I71" i="7" s="1"/>
  <c r="D39" i="7"/>
  <c r="D71" i="7" s="1"/>
  <c r="M25" i="7"/>
  <c r="M69" i="7" s="1"/>
  <c r="L25" i="7"/>
  <c r="L69" i="7" s="1"/>
  <c r="M39" i="7"/>
  <c r="M71" i="7" s="1"/>
  <c r="K39" i="7"/>
  <c r="K71" i="7" s="1"/>
  <c r="J39" i="7"/>
  <c r="J71" i="7" s="1"/>
  <c r="C25" i="7"/>
  <c r="C69" i="7" s="1"/>
  <c r="C39" i="7"/>
  <c r="C71" i="7" s="1"/>
  <c r="H39" i="7"/>
  <c r="H71" i="7" s="1"/>
  <c r="K25" i="7"/>
  <c r="K69" i="7" s="1"/>
  <c r="H25" i="7"/>
  <c r="H69" i="7" s="1"/>
  <c r="J25" i="7"/>
  <c r="J69" i="7" s="1"/>
  <c r="I25" i="7"/>
  <c r="I69" i="7" s="1"/>
  <c r="G25" i="7"/>
  <c r="G69" i="7" s="1"/>
  <c r="G39" i="7"/>
  <c r="G71" i="7" s="1"/>
  <c r="F25" i="7"/>
  <c r="F69" i="7" s="1"/>
  <c r="E25" i="7"/>
  <c r="E69" i="7" s="1"/>
  <c r="F39" i="7"/>
  <c r="F71" i="7" s="1"/>
  <c r="K73" i="7"/>
  <c r="K53" i="7"/>
  <c r="I73" i="7"/>
  <c r="I53" i="7"/>
  <c r="H73" i="7"/>
  <c r="H53" i="7"/>
  <c r="L73" i="7"/>
  <c r="L53" i="7"/>
  <c r="J73" i="7"/>
  <c r="J53" i="7"/>
  <c r="G73" i="7"/>
  <c r="G53" i="7"/>
  <c r="F73" i="7"/>
  <c r="F53" i="7"/>
  <c r="E73" i="7"/>
  <c r="E53" i="7"/>
  <c r="D73" i="7"/>
  <c r="D53" i="7"/>
  <c r="C73" i="7"/>
  <c r="C53" i="7"/>
  <c r="M73" i="7"/>
  <c r="M53" i="7"/>
  <c r="B32" i="7"/>
  <c r="B70" i="7" s="1"/>
  <c r="C32" i="7"/>
  <c r="C70" i="7" s="1"/>
  <c r="D32" i="7"/>
  <c r="D70" i="7" s="1"/>
  <c r="E32" i="7"/>
  <c r="E70" i="7" s="1"/>
  <c r="F32" i="7"/>
  <c r="F70" i="7" s="1"/>
  <c r="G32" i="7"/>
  <c r="G70" i="7" s="1"/>
  <c r="H32" i="7"/>
  <c r="H70" i="7" s="1"/>
  <c r="M32" i="7"/>
  <c r="M70" i="7" s="1"/>
  <c r="I32" i="7"/>
  <c r="I70" i="7" s="1"/>
  <c r="J32" i="7"/>
  <c r="J70" i="7" s="1"/>
  <c r="K32" i="7"/>
  <c r="K70" i="7" s="1"/>
  <c r="L32" i="7"/>
  <c r="L70" i="7" s="1"/>
  <c r="J46" i="7"/>
  <c r="J72" i="7" s="1"/>
  <c r="L46" i="7"/>
  <c r="L72" i="7" s="1"/>
  <c r="I46" i="7"/>
  <c r="I72" i="7" s="1"/>
  <c r="H46" i="7"/>
  <c r="H72" i="7" s="1"/>
  <c r="M46" i="7"/>
  <c r="M72" i="7" s="1"/>
  <c r="G46" i="7"/>
  <c r="G72" i="7" s="1"/>
  <c r="C46" i="7"/>
  <c r="C72" i="7" s="1"/>
  <c r="F46" i="7"/>
  <c r="F72" i="7" s="1"/>
  <c r="E46" i="7"/>
  <c r="E72" i="7" s="1"/>
  <c r="D46" i="7"/>
  <c r="D72" i="7" s="1"/>
  <c r="K46" i="7"/>
  <c r="K72" i="7" s="1"/>
  <c r="B46" i="7"/>
  <c r="B72" i="7" s="1"/>
  <c r="S11" i="7"/>
  <c r="G11" i="7" s="1"/>
  <c r="G67" i="7" s="1"/>
  <c r="S14" i="7"/>
  <c r="L18" i="7" s="1"/>
  <c r="L68" i="7" s="1"/>
  <c r="Q22" i="7"/>
  <c r="J75" i="7" s="1"/>
  <c r="B10" i="7"/>
  <c r="I11" i="7" l="1"/>
  <c r="I67" i="7" s="1"/>
  <c r="J11" i="7"/>
  <c r="J67" i="7" s="1"/>
  <c r="K18" i="7"/>
  <c r="K68" i="7" s="1"/>
  <c r="H11" i="7"/>
  <c r="H67" i="7" s="1"/>
  <c r="K11" i="7"/>
  <c r="K67" i="7" s="1"/>
  <c r="J18" i="7"/>
  <c r="J68" i="7" s="1"/>
  <c r="I18" i="7"/>
  <c r="I68" i="7" s="1"/>
  <c r="E18" i="7"/>
  <c r="E68" i="7" s="1"/>
  <c r="M18" i="7"/>
  <c r="M68" i="7" s="1"/>
  <c r="F18" i="7"/>
  <c r="F68" i="7" s="1"/>
  <c r="L11" i="7"/>
  <c r="L67" i="7" s="1"/>
  <c r="L74" i="7" s="1"/>
  <c r="D18" i="7"/>
  <c r="D68" i="7" s="1"/>
  <c r="D11" i="7"/>
  <c r="D67" i="7" s="1"/>
  <c r="E11" i="7"/>
  <c r="E67" i="7" s="1"/>
  <c r="B11" i="7"/>
  <c r="B67" i="7" s="1"/>
  <c r="F11" i="7"/>
  <c r="F67" i="7" s="1"/>
  <c r="M11" i="7"/>
  <c r="M67" i="7" s="1"/>
  <c r="C18" i="7"/>
  <c r="C68" i="7" s="1"/>
  <c r="B18" i="7"/>
  <c r="B68" i="7" s="1"/>
  <c r="G18" i="7"/>
  <c r="G68" i="7" s="1"/>
  <c r="G74" i="7" s="1"/>
  <c r="C11" i="7"/>
  <c r="C67" i="7" s="1"/>
  <c r="H18" i="7"/>
  <c r="H68" i="7" s="1"/>
  <c r="K74" i="7"/>
  <c r="G75" i="7"/>
  <c r="F75" i="7"/>
  <c r="E75" i="7"/>
  <c r="M75" i="7"/>
  <c r="I75" i="7"/>
  <c r="H75" i="7"/>
  <c r="D75" i="7"/>
  <c r="C75" i="7"/>
  <c r="L75" i="7"/>
  <c r="B75" i="7"/>
  <c r="K75" i="7"/>
  <c r="D6" i="5"/>
  <c r="D7" i="5"/>
  <c r="D8" i="5"/>
  <c r="D9" i="5"/>
  <c r="D10" i="5"/>
  <c r="D5" i="5"/>
  <c r="D4" i="5"/>
  <c r="J74" i="7" l="1"/>
  <c r="J77" i="7" s="1"/>
  <c r="H74" i="7"/>
  <c r="H77" i="7" s="1"/>
  <c r="D74" i="7"/>
  <c r="D77" i="7" s="1"/>
  <c r="E74" i="7"/>
  <c r="E77" i="7" s="1"/>
  <c r="I74" i="7"/>
  <c r="I77" i="7" s="1"/>
  <c r="F74" i="7"/>
  <c r="F77" i="7" s="1"/>
  <c r="C74" i="7"/>
  <c r="C77" i="7" s="1"/>
  <c r="M74" i="7"/>
  <c r="M77" i="7" s="1"/>
  <c r="K77" i="7"/>
  <c r="L77" i="7"/>
  <c r="G77" i="7"/>
  <c r="B74" i="7"/>
  <c r="AE26" i="12" l="1"/>
  <c r="S26" i="12"/>
  <c r="G26" i="12"/>
  <c r="AF26" i="12"/>
  <c r="T26" i="12"/>
  <c r="H26" i="12"/>
  <c r="Q26" i="12"/>
  <c r="AC26" i="12"/>
  <c r="E26" i="12"/>
  <c r="AG26" i="12"/>
  <c r="U26" i="12"/>
  <c r="I26" i="12"/>
  <c r="AB26" i="12"/>
  <c r="P26" i="12"/>
  <c r="D26" i="12"/>
  <c r="AA26" i="12"/>
  <c r="O26" i="12"/>
  <c r="C26" i="12"/>
  <c r="AD26" i="12"/>
  <c r="R26" i="12"/>
  <c r="F26" i="12"/>
  <c r="AJ26" i="12"/>
  <c r="X26" i="12"/>
  <c r="L26" i="12"/>
  <c r="AK26" i="12"/>
  <c r="Y26" i="12"/>
  <c r="M26" i="12"/>
  <c r="AI26" i="12"/>
  <c r="W26" i="12"/>
  <c r="K26" i="12"/>
  <c r="AH26" i="12"/>
  <c r="V26" i="12"/>
  <c r="J26" i="12"/>
  <c r="AG11" i="12"/>
  <c r="I11" i="12"/>
  <c r="I16" i="12" s="1"/>
  <c r="U11" i="12"/>
  <c r="AF11" i="12"/>
  <c r="T11" i="12"/>
  <c r="H11" i="12"/>
  <c r="H16" i="12" s="1"/>
  <c r="AB11" i="12"/>
  <c r="P11" i="12"/>
  <c r="D11" i="12"/>
  <c r="D16" i="12" s="1"/>
  <c r="O11" i="12"/>
  <c r="AA11" i="12"/>
  <c r="C11" i="12"/>
  <c r="C16" i="12" s="1"/>
  <c r="AD11" i="12"/>
  <c r="R11" i="12"/>
  <c r="F11" i="12"/>
  <c r="F16" i="12" s="1"/>
  <c r="AI11" i="12"/>
  <c r="W11" i="12"/>
  <c r="K11" i="12"/>
  <c r="K16" i="12" s="1"/>
  <c r="AE11" i="12"/>
  <c r="S11" i="12"/>
  <c r="G11" i="12"/>
  <c r="G16" i="12" s="1"/>
  <c r="AC11" i="12"/>
  <c r="Q11" i="12"/>
  <c r="E11" i="12"/>
  <c r="E16" i="12" s="1"/>
  <c r="AJ11" i="12"/>
  <c r="X11" i="12"/>
  <c r="L11" i="12"/>
  <c r="L16" i="12" s="1"/>
  <c r="AK11" i="12"/>
  <c r="M11" i="12"/>
  <c r="M16" i="12" s="1"/>
  <c r="Y11" i="12"/>
  <c r="AH11" i="12"/>
  <c r="V11" i="12"/>
  <c r="J11" i="12"/>
  <c r="J16" i="12" s="1"/>
  <c r="B77" i="7"/>
  <c r="S5" i="5"/>
  <c r="N77" i="7" l="1"/>
  <c r="K19" i="3" s="1"/>
  <c r="Z26" i="12"/>
  <c r="AL26" i="12" s="1"/>
  <c r="AQ7" i="12" s="1"/>
  <c r="N26" i="12"/>
  <c r="B26" i="12"/>
  <c r="S6" i="5"/>
  <c r="S7" i="5" s="1"/>
  <c r="S8" i="5" s="1"/>
  <c r="Z11" i="12"/>
  <c r="AL11" i="12" s="1"/>
  <c r="N11" i="12"/>
  <c r="B11" i="12"/>
  <c r="B16" i="12" s="1"/>
  <c r="N16" i="12" s="1"/>
  <c r="N5" i="5"/>
  <c r="N6" i="5"/>
  <c r="N7" i="5"/>
  <c r="N8" i="5"/>
  <c r="N9" i="5"/>
  <c r="N10" i="5"/>
  <c r="N11" i="5"/>
  <c r="N4" i="5"/>
  <c r="C8" i="6" l="1"/>
  <c r="E8" i="6" s="1"/>
  <c r="AQ6" i="12"/>
  <c r="B2" i="2"/>
  <c r="B10" i="2" l="1"/>
  <c r="B22" i="12" s="1"/>
  <c r="B23" i="12" s="1"/>
  <c r="B24" i="12" s="1"/>
  <c r="I17" i="2"/>
  <c r="AG7" i="12" s="1"/>
  <c r="D17" i="2"/>
  <c r="AB7" i="12" s="1"/>
  <c r="B17" i="2"/>
  <c r="Z7" i="12" s="1"/>
  <c r="C17" i="2"/>
  <c r="AA7" i="12" s="1"/>
  <c r="E17" i="2"/>
  <c r="AC7" i="12" s="1"/>
  <c r="F17" i="2"/>
  <c r="AD7" i="12" s="1"/>
  <c r="G17" i="2"/>
  <c r="AE7" i="12" s="1"/>
  <c r="H17" i="2"/>
  <c r="AF7" i="12" s="1"/>
  <c r="J17" i="2"/>
  <c r="AH7" i="12" s="1"/>
  <c r="K17" i="2"/>
  <c r="AI7" i="12" s="1"/>
  <c r="L17" i="2"/>
  <c r="AJ7" i="12" s="1"/>
  <c r="M17" i="2"/>
  <c r="AK7" i="12" s="1"/>
  <c r="C10" i="2"/>
  <c r="M10" i="2"/>
  <c r="L10" i="2"/>
  <c r="K10" i="2"/>
  <c r="E10" i="2"/>
  <c r="J10" i="2"/>
  <c r="I10" i="2"/>
  <c r="F10" i="2"/>
  <c r="H10" i="2"/>
  <c r="G10" i="2"/>
  <c r="D10" i="2"/>
  <c r="C18" i="3"/>
  <c r="C17" i="3"/>
  <c r="L18" i="2" l="1"/>
  <c r="X7" i="12"/>
  <c r="L7" i="12"/>
  <c r="F18" i="2"/>
  <c r="R7" i="12"/>
  <c r="F7" i="12"/>
  <c r="K18" i="2"/>
  <c r="W7" i="12"/>
  <c r="K7" i="12"/>
  <c r="H18" i="2"/>
  <c r="T7" i="12"/>
  <c r="H7" i="12"/>
  <c r="E18" i="2"/>
  <c r="Q7" i="12"/>
  <c r="E7" i="12"/>
  <c r="I18" i="2"/>
  <c r="U7" i="12"/>
  <c r="I7" i="12"/>
  <c r="J18" i="2"/>
  <c r="J7" i="12"/>
  <c r="V7" i="12"/>
  <c r="G18" i="2"/>
  <c r="S7" i="12"/>
  <c r="G7" i="12"/>
  <c r="C18" i="2"/>
  <c r="O7" i="12"/>
  <c r="C7" i="12"/>
  <c r="N7" i="12"/>
  <c r="B7" i="12"/>
  <c r="D18" i="2"/>
  <c r="P7" i="12"/>
  <c r="D7" i="12"/>
  <c r="M18" i="2"/>
  <c r="M7" i="12"/>
  <c r="Y7" i="12"/>
  <c r="N22" i="12"/>
  <c r="N23" i="12" s="1"/>
  <c r="Z22" i="12"/>
  <c r="Z23" i="12" s="1"/>
  <c r="B18" i="2"/>
  <c r="N17" i="2"/>
  <c r="S6" i="2" s="1"/>
  <c r="J11" i="2"/>
  <c r="V22" i="12"/>
  <c r="V23" i="12" s="1"/>
  <c r="J22" i="12"/>
  <c r="J23" i="12" s="1"/>
  <c r="AH22" i="12"/>
  <c r="AH23" i="12" s="1"/>
  <c r="K11" i="2"/>
  <c r="AI22" i="12"/>
  <c r="AI23" i="12" s="1"/>
  <c r="K22" i="12"/>
  <c r="K23" i="12" s="1"/>
  <c r="W22" i="12"/>
  <c r="W23" i="12" s="1"/>
  <c r="M11" i="2"/>
  <c r="Y22" i="12"/>
  <c r="Y23" i="12" s="1"/>
  <c r="AK22" i="12"/>
  <c r="AK23" i="12" s="1"/>
  <c r="M22" i="12"/>
  <c r="M23" i="12" s="1"/>
  <c r="H11" i="2"/>
  <c r="AF22" i="12"/>
  <c r="AF23" i="12" s="1"/>
  <c r="H22" i="12"/>
  <c r="H23" i="12" s="1"/>
  <c r="T22" i="12"/>
  <c r="T23" i="12" s="1"/>
  <c r="I11" i="2"/>
  <c r="AG22" i="12"/>
  <c r="AG23" i="12" s="1"/>
  <c r="U22" i="12"/>
  <c r="U23" i="12" s="1"/>
  <c r="I22" i="12"/>
  <c r="I23" i="12" s="1"/>
  <c r="E11" i="2"/>
  <c r="E22" i="12"/>
  <c r="E23" i="12" s="1"/>
  <c r="Q22" i="12"/>
  <c r="Q23" i="12" s="1"/>
  <c r="AC22" i="12"/>
  <c r="AC23" i="12" s="1"/>
  <c r="L11" i="2"/>
  <c r="AJ22" i="12"/>
  <c r="AJ23" i="12" s="1"/>
  <c r="L22" i="12"/>
  <c r="L23" i="12" s="1"/>
  <c r="X22" i="12"/>
  <c r="X23" i="12" s="1"/>
  <c r="D11" i="2"/>
  <c r="D22" i="12"/>
  <c r="D23" i="12" s="1"/>
  <c r="P22" i="12"/>
  <c r="P23" i="12" s="1"/>
  <c r="AB22" i="12"/>
  <c r="AB23" i="12" s="1"/>
  <c r="F11" i="2"/>
  <c r="F22" i="12"/>
  <c r="F23" i="12" s="1"/>
  <c r="R22" i="12"/>
  <c r="R23" i="12" s="1"/>
  <c r="AD22" i="12"/>
  <c r="AD23" i="12" s="1"/>
  <c r="G11" i="2"/>
  <c r="G22" i="12"/>
  <c r="G23" i="12" s="1"/>
  <c r="S22" i="12"/>
  <c r="S23" i="12" s="1"/>
  <c r="AE22" i="12"/>
  <c r="AE23" i="12" s="1"/>
  <c r="C11" i="2"/>
  <c r="O22" i="12"/>
  <c r="O23" i="12" s="1"/>
  <c r="AA22" i="12"/>
  <c r="C22" i="12"/>
  <c r="C23" i="12" s="1"/>
  <c r="B11" i="2"/>
  <c r="N10" i="2"/>
  <c r="S7" i="2" s="1"/>
  <c r="D4" i="3"/>
  <c r="D5" i="3"/>
  <c r="D6" i="3"/>
  <c r="D7" i="3"/>
  <c r="D8" i="3"/>
  <c r="D9" i="3"/>
  <c r="D3" i="3"/>
  <c r="N18" i="2" l="1"/>
  <c r="AA23" i="12"/>
  <c r="AL22" i="12"/>
  <c r="AO7" i="12" s="1"/>
  <c r="N11" i="2"/>
  <c r="R7" i="2" s="1"/>
  <c r="N8" i="12"/>
  <c r="AB8" i="12"/>
  <c r="P8" i="12"/>
  <c r="D8" i="12"/>
  <c r="AA8" i="12"/>
  <c r="O8" i="12"/>
  <c r="C8" i="12"/>
  <c r="AD8" i="12"/>
  <c r="R8" i="12"/>
  <c r="F8" i="12"/>
  <c r="AE8" i="12"/>
  <c r="S8" i="12"/>
  <c r="G8" i="12"/>
  <c r="AF8" i="12"/>
  <c r="T8" i="12"/>
  <c r="H8" i="12"/>
  <c r="AH8" i="12"/>
  <c r="V8" i="12"/>
  <c r="J8" i="12"/>
  <c r="AC8" i="12"/>
  <c r="Q8" i="12"/>
  <c r="E8" i="12"/>
  <c r="U8" i="12"/>
  <c r="AG8" i="12"/>
  <c r="I8" i="12"/>
  <c r="AI8" i="12"/>
  <c r="W8" i="12"/>
  <c r="K8" i="12"/>
  <c r="AJ8" i="12"/>
  <c r="X8" i="12"/>
  <c r="L8" i="12"/>
  <c r="AK8" i="12"/>
  <c r="Y8" i="12"/>
  <c r="M8" i="12"/>
  <c r="F30" i="1"/>
  <c r="C16" i="3"/>
  <c r="E11" i="1" s="1"/>
  <c r="Q8" i="1" s="1"/>
  <c r="Q10" i="1" s="1"/>
  <c r="R6" i="2" l="1"/>
  <c r="I20" i="1" s="1"/>
  <c r="E35" i="1"/>
  <c r="Z8" i="12"/>
  <c r="AL7" i="12"/>
  <c r="B8" i="12"/>
  <c r="C19" i="3"/>
  <c r="P25" i="12" l="1"/>
  <c r="P27" i="12" s="1"/>
  <c r="AA25" i="12"/>
  <c r="AA27" i="12" s="1"/>
  <c r="AK25" i="12"/>
  <c r="AK27" i="12" s="1"/>
  <c r="Y25" i="12"/>
  <c r="Y27" i="12" s="1"/>
  <c r="M25" i="12"/>
  <c r="M27" i="12" s="1"/>
  <c r="AI25" i="12"/>
  <c r="AI27" i="12" s="1"/>
  <c r="K25" i="12"/>
  <c r="K27" i="12" s="1"/>
  <c r="AH25" i="12"/>
  <c r="AH27" i="12" s="1"/>
  <c r="J25" i="12"/>
  <c r="J27" i="12" s="1"/>
  <c r="AG25" i="12"/>
  <c r="AG27" i="12" s="1"/>
  <c r="H25" i="12"/>
  <c r="H27" i="12" s="1"/>
  <c r="N25" i="12"/>
  <c r="N27" i="12" s="1"/>
  <c r="AJ25" i="12"/>
  <c r="AJ27" i="12" s="1"/>
  <c r="X25" i="12"/>
  <c r="X27" i="12" s="1"/>
  <c r="L25" i="12"/>
  <c r="L27" i="12" s="1"/>
  <c r="W25" i="12"/>
  <c r="W27" i="12" s="1"/>
  <c r="V25" i="12"/>
  <c r="V27" i="12" s="1"/>
  <c r="I25" i="12"/>
  <c r="I27" i="12" s="1"/>
  <c r="T25" i="12"/>
  <c r="T27" i="12" s="1"/>
  <c r="B25" i="12"/>
  <c r="B27" i="12" s="1"/>
  <c r="U25" i="12"/>
  <c r="U27" i="12" s="1"/>
  <c r="AF25" i="12"/>
  <c r="AF27" i="12" s="1"/>
  <c r="Z25" i="12"/>
  <c r="AE25" i="12"/>
  <c r="AE27" i="12" s="1"/>
  <c r="S25" i="12"/>
  <c r="S27" i="12" s="1"/>
  <c r="G25" i="12"/>
  <c r="G27" i="12" s="1"/>
  <c r="C25" i="12"/>
  <c r="C27" i="12" s="1"/>
  <c r="AD25" i="12"/>
  <c r="AD27" i="12" s="1"/>
  <c r="R25" i="12"/>
  <c r="R27" i="12" s="1"/>
  <c r="F25" i="12"/>
  <c r="F27" i="12" s="1"/>
  <c r="AC25" i="12"/>
  <c r="AC27" i="12" s="1"/>
  <c r="Q25" i="12"/>
  <c r="Q27" i="12" s="1"/>
  <c r="E25" i="12"/>
  <c r="E27" i="12" s="1"/>
  <c r="AB25" i="12"/>
  <c r="AB27" i="12" s="1"/>
  <c r="D25" i="12"/>
  <c r="D27" i="12" s="1"/>
  <c r="O25" i="12"/>
  <c r="O27" i="12" s="1"/>
  <c r="I27" i="1"/>
  <c r="K30" i="1" s="1"/>
  <c r="AO6" i="12"/>
  <c r="AQ8" i="12" s="1"/>
  <c r="AB10" i="12"/>
  <c r="AB12" i="12" s="1"/>
  <c r="P10" i="12"/>
  <c r="P12" i="12" s="1"/>
  <c r="D10" i="12"/>
  <c r="D12" i="12" s="1"/>
  <c r="AJ10" i="12"/>
  <c r="AJ12" i="12" s="1"/>
  <c r="AA10" i="12"/>
  <c r="AA12" i="12" s="1"/>
  <c r="O10" i="12"/>
  <c r="O12" i="12" s="1"/>
  <c r="C10" i="12"/>
  <c r="C12" i="12" s="1"/>
  <c r="L10" i="12"/>
  <c r="L12" i="12" s="1"/>
  <c r="Z10" i="12"/>
  <c r="N10" i="12"/>
  <c r="N12" i="12" s="1"/>
  <c r="B10" i="12"/>
  <c r="X10" i="12"/>
  <c r="X12" i="12" s="1"/>
  <c r="AK10" i="12"/>
  <c r="AK12" i="12" s="1"/>
  <c r="Y10" i="12"/>
  <c r="Y12" i="12" s="1"/>
  <c r="M10" i="12"/>
  <c r="M12" i="12" s="1"/>
  <c r="AI10" i="12"/>
  <c r="AI12" i="12" s="1"/>
  <c r="W10" i="12"/>
  <c r="W12" i="12" s="1"/>
  <c r="K10" i="12"/>
  <c r="K12" i="12" s="1"/>
  <c r="AD10" i="12"/>
  <c r="AD12" i="12" s="1"/>
  <c r="AH10" i="12"/>
  <c r="AH12" i="12" s="1"/>
  <c r="V10" i="12"/>
  <c r="V12" i="12" s="1"/>
  <c r="J10" i="12"/>
  <c r="J12" i="12" s="1"/>
  <c r="AG10" i="12"/>
  <c r="AG12" i="12" s="1"/>
  <c r="U10" i="12"/>
  <c r="U12" i="12" s="1"/>
  <c r="I10" i="12"/>
  <c r="I12" i="12" s="1"/>
  <c r="AF10" i="12"/>
  <c r="AF12" i="12" s="1"/>
  <c r="T10" i="12"/>
  <c r="T12" i="12" s="1"/>
  <c r="H10" i="12"/>
  <c r="H12" i="12" s="1"/>
  <c r="R10" i="12"/>
  <c r="R12" i="12" s="1"/>
  <c r="AE10" i="12"/>
  <c r="AE12" i="12" s="1"/>
  <c r="S10" i="12"/>
  <c r="S12" i="12" s="1"/>
  <c r="G10" i="12"/>
  <c r="G12" i="12" s="1"/>
  <c r="F10" i="12"/>
  <c r="F12" i="12" s="1"/>
  <c r="AC10" i="12"/>
  <c r="AC12" i="12" s="1"/>
  <c r="Q10" i="12"/>
  <c r="Q12" i="12" s="1"/>
  <c r="E10" i="12"/>
  <c r="E12" i="12" s="1"/>
  <c r="Z27" i="12" l="1"/>
  <c r="AL27" i="12" s="1"/>
  <c r="AR7" i="12" s="1"/>
  <c r="AL25" i="12"/>
  <c r="AP7" i="12" s="1"/>
  <c r="B29" i="12"/>
  <c r="B30" i="12" s="1"/>
  <c r="B28" i="12"/>
  <c r="Q11" i="1"/>
  <c r="F7" i="6"/>
  <c r="C7" i="6" s="1"/>
  <c r="Z12" i="12"/>
  <c r="AL12" i="12" s="1"/>
  <c r="AR6" i="12" s="1"/>
  <c r="AL10" i="12"/>
  <c r="AP6" i="12" s="1"/>
  <c r="B12" i="12"/>
  <c r="H19" i="3"/>
  <c r="H20" i="3" s="1"/>
  <c r="AQ9" i="12" l="1"/>
  <c r="K32" i="1" s="1"/>
  <c r="E7" i="6"/>
  <c r="E11" i="6" s="1"/>
  <c r="C69" i="6" s="1"/>
  <c r="Q18" i="1"/>
  <c r="C18" i="6"/>
  <c r="C21" i="6" s="1"/>
  <c r="E21" i="6" s="1"/>
  <c r="Q2" i="12"/>
  <c r="C24" i="12" s="1"/>
  <c r="R12" i="1"/>
  <c r="C32" i="5" s="1"/>
  <c r="AN15" i="12"/>
  <c r="H21" i="3"/>
  <c r="P34" i="1"/>
  <c r="AA6" i="5" s="1"/>
  <c r="AA8" i="5" l="1"/>
  <c r="AA9" i="5"/>
  <c r="C60" i="6"/>
  <c r="E60" i="6" s="1"/>
  <c r="C29" i="12"/>
  <c r="C30" i="12" s="1"/>
  <c r="C28" i="12"/>
  <c r="C61" i="6"/>
  <c r="E61" i="6" s="1"/>
  <c r="B9" i="12"/>
  <c r="B14" i="12" s="1"/>
  <c r="B15" i="12" s="1"/>
  <c r="E18" i="6"/>
  <c r="AA10" i="5"/>
  <c r="F30" i="3"/>
  <c r="F31" i="3"/>
  <c r="F27" i="3"/>
  <c r="F28" i="3"/>
  <c r="F25" i="3"/>
  <c r="F26" i="3"/>
  <c r="F29" i="3"/>
  <c r="AA12" i="5" l="1"/>
  <c r="C29" i="6" s="1"/>
  <c r="E29" i="6" s="1"/>
  <c r="C59" i="6"/>
  <c r="E59" i="6" s="1"/>
  <c r="C58" i="6"/>
  <c r="E58" i="6" s="1"/>
  <c r="D24" i="12"/>
  <c r="D29" i="12" s="1"/>
  <c r="D30" i="12" s="1"/>
  <c r="B13" i="12"/>
  <c r="C9" i="12" s="1"/>
  <c r="C14" i="12" s="1"/>
  <c r="C15" i="12" s="1"/>
  <c r="C16" i="5"/>
  <c r="S36" i="1"/>
  <c r="E63" i="6" l="1"/>
  <c r="C82" i="6" s="1"/>
  <c r="D28" i="12"/>
  <c r="E24" i="12" s="1"/>
  <c r="E28" i="12" s="1"/>
  <c r="C13" i="12"/>
  <c r="D9" i="12" s="1"/>
  <c r="S24" i="5"/>
  <c r="C17" i="5"/>
  <c r="C41" i="6" s="1"/>
  <c r="C42" i="6" s="1"/>
  <c r="E42" i="6" s="1"/>
  <c r="L24" i="5"/>
  <c r="C30" i="6" s="1"/>
  <c r="E30" i="6" s="1"/>
  <c r="E32" i="6" s="1"/>
  <c r="C71" i="6" s="1"/>
  <c r="E29" i="12" l="1"/>
  <c r="E30" i="12" s="1"/>
  <c r="C19" i="6"/>
  <c r="E19" i="6" s="1"/>
  <c r="E22" i="6" s="1"/>
  <c r="C81" i="6" s="1"/>
  <c r="E41" i="6"/>
  <c r="E43" i="6" s="1"/>
  <c r="C72" i="6" s="1"/>
  <c r="D14" i="12"/>
  <c r="D15" i="12" s="1"/>
  <c r="D13" i="12"/>
  <c r="C70" i="6" l="1"/>
  <c r="F24" i="12"/>
  <c r="E9" i="12"/>
  <c r="E14" i="12" s="1"/>
  <c r="E15" i="12" s="1"/>
  <c r="C74" i="6" l="1"/>
  <c r="F28" i="12"/>
  <c r="F29" i="12"/>
  <c r="F30" i="12" s="1"/>
  <c r="E13" i="12"/>
  <c r="F9" i="12" s="1"/>
  <c r="C75" i="6" l="1"/>
  <c r="G24" i="12"/>
  <c r="F13" i="12"/>
  <c r="F14" i="12"/>
  <c r="F15" i="12" s="1"/>
  <c r="C76" i="6" l="1"/>
  <c r="D3" i="18" s="1"/>
  <c r="D5" i="18" s="1"/>
  <c r="G29" i="12"/>
  <c r="G30" i="12" s="1"/>
  <c r="G28" i="12"/>
  <c r="G9" i="12"/>
  <c r="H24" i="12" l="1"/>
  <c r="H28" i="12" s="1"/>
  <c r="G13" i="12"/>
  <c r="G14" i="12"/>
  <c r="G15" i="12" s="1"/>
  <c r="H29" i="12" l="1"/>
  <c r="H30" i="12" s="1"/>
  <c r="H9" i="12"/>
  <c r="I24" i="12" l="1"/>
  <c r="I28" i="12" s="1"/>
  <c r="H14" i="12"/>
  <c r="H15" i="12" s="1"/>
  <c r="H13" i="12"/>
  <c r="I29" i="12" l="1"/>
  <c r="I30" i="12" s="1"/>
  <c r="I9" i="12"/>
  <c r="J24" i="12" l="1"/>
  <c r="J29" i="12" s="1"/>
  <c r="J30" i="12" s="1"/>
  <c r="I14" i="12"/>
  <c r="I15" i="12" s="1"/>
  <c r="I13" i="12"/>
  <c r="J28" i="12" l="1"/>
  <c r="K24" i="12" s="1"/>
  <c r="K28" i="12" s="1"/>
  <c r="J9" i="12"/>
  <c r="K29" i="12" l="1"/>
  <c r="K30" i="12" s="1"/>
  <c r="J13" i="12"/>
  <c r="J14" i="12"/>
  <c r="J15" i="12" s="1"/>
  <c r="L24" i="12" l="1"/>
  <c r="L28" i="12" s="1"/>
  <c r="K9" i="12"/>
  <c r="L29" i="12" l="1"/>
  <c r="L30" i="12" s="1"/>
  <c r="M24" i="12"/>
  <c r="M29" i="12" s="1"/>
  <c r="M30" i="12" s="1"/>
  <c r="K13" i="12"/>
  <c r="K14" i="12"/>
  <c r="K15" i="12" s="1"/>
  <c r="M28" i="12" l="1"/>
  <c r="N24" i="12" s="1"/>
  <c r="N29" i="12" s="1"/>
  <c r="N30" i="12" s="1"/>
  <c r="L9" i="12"/>
  <c r="N28" i="12" l="1"/>
  <c r="O24" i="12" s="1"/>
  <c r="O28" i="12" s="1"/>
  <c r="L13" i="12"/>
  <c r="L14" i="12"/>
  <c r="L15" i="12" s="1"/>
  <c r="O29" i="12" l="1"/>
  <c r="O30" i="12" s="1"/>
  <c r="M9" i="12"/>
  <c r="P24" i="12" l="1"/>
  <c r="P29" i="12" s="1"/>
  <c r="P30" i="12" s="1"/>
  <c r="M13" i="12"/>
  <c r="M14" i="12"/>
  <c r="M15" i="12" s="1"/>
  <c r="P28" i="12" l="1"/>
  <c r="Q24" i="12" s="1"/>
  <c r="Q28" i="12" s="1"/>
  <c r="N9" i="12"/>
  <c r="N13" i="12" s="1"/>
  <c r="Q29" i="12" l="1"/>
  <c r="Q30" i="12" s="1"/>
  <c r="N14" i="12"/>
  <c r="N15" i="12" s="1"/>
  <c r="R24" i="12" l="1"/>
  <c r="R28" i="12" s="1"/>
  <c r="O9" i="12"/>
  <c r="O13" i="12" s="1"/>
  <c r="R29" i="12" l="1"/>
  <c r="R30" i="12" s="1"/>
  <c r="O14" i="12"/>
  <c r="O15" i="12" s="1"/>
  <c r="S24" i="12" l="1"/>
  <c r="S29" i="12" s="1"/>
  <c r="S30" i="12" s="1"/>
  <c r="P9" i="12"/>
  <c r="P14" i="12" s="1"/>
  <c r="P15" i="12" s="1"/>
  <c r="S28" i="12" l="1"/>
  <c r="T24" i="12" s="1"/>
  <c r="P13" i="12"/>
  <c r="Q9" i="12" s="1"/>
  <c r="T28" i="12" l="1"/>
  <c r="T29" i="12"/>
  <c r="T30" i="12" s="1"/>
  <c r="Q14" i="12"/>
  <c r="Q15" i="12" s="1"/>
  <c r="Q13" i="12"/>
  <c r="U24" i="12" l="1"/>
  <c r="U29" i="12" s="1"/>
  <c r="U30" i="12" s="1"/>
  <c r="R9" i="12"/>
  <c r="U28" i="12" l="1"/>
  <c r="V24" i="12" s="1"/>
  <c r="V29" i="12" s="1"/>
  <c r="V30" i="12" s="1"/>
  <c r="R14" i="12"/>
  <c r="R15" i="12" s="1"/>
  <c r="R13" i="12"/>
  <c r="V28" i="12" l="1"/>
  <c r="W24" i="12" s="1"/>
  <c r="W29" i="12" s="1"/>
  <c r="W30" i="12" s="1"/>
  <c r="S9" i="12"/>
  <c r="S13" i="12" s="1"/>
  <c r="W28" i="12" l="1"/>
  <c r="X24" i="12" s="1"/>
  <c r="X29" i="12" s="1"/>
  <c r="X30" i="12" s="1"/>
  <c r="S14" i="12"/>
  <c r="S15" i="12" s="1"/>
  <c r="X28" i="12" l="1"/>
  <c r="Y24" i="12" s="1"/>
  <c r="Y29" i="12" s="1"/>
  <c r="Y30" i="12" s="1"/>
  <c r="T9" i="12"/>
  <c r="AO11" i="12" l="1"/>
  <c r="AP11" i="12" s="1"/>
  <c r="K35" i="1" s="1"/>
  <c r="Y28" i="12"/>
  <c r="Z24" i="12" s="1"/>
  <c r="Z28" i="12" s="1"/>
  <c r="T13" i="12"/>
  <c r="T14" i="12"/>
  <c r="T15" i="12" s="1"/>
  <c r="Z29" i="12" l="1"/>
  <c r="Z30" i="12" s="1"/>
  <c r="U9" i="12"/>
  <c r="U14" i="12" s="1"/>
  <c r="U15" i="12" s="1"/>
  <c r="AA24" i="12" l="1"/>
  <c r="AA28" i="12" s="1"/>
  <c r="U13" i="12"/>
  <c r="AA29" i="12" l="1"/>
  <c r="AA30" i="12" s="1"/>
  <c r="V9" i="12"/>
  <c r="V14" i="12" s="1"/>
  <c r="V15" i="12" s="1"/>
  <c r="AB24" i="12" l="1"/>
  <c r="AB29" i="12" s="1"/>
  <c r="V13" i="12"/>
  <c r="W9" i="12" s="1"/>
  <c r="W13" i="12" s="1"/>
  <c r="AB28" i="12" l="1"/>
  <c r="AC24" i="12" s="1"/>
  <c r="AC28" i="12" s="1"/>
  <c r="AB30" i="12"/>
  <c r="W14" i="12"/>
  <c r="W15" i="12" s="1"/>
  <c r="AC29" i="12" l="1"/>
  <c r="AC30" i="12" s="1"/>
  <c r="X9" i="12"/>
  <c r="X13" i="12" s="1"/>
  <c r="AD24" i="12" l="1"/>
  <c r="AD29" i="12" s="1"/>
  <c r="X14" i="12"/>
  <c r="X15" i="12" s="1"/>
  <c r="AD28" i="12" l="1"/>
  <c r="AE24" i="12" s="1"/>
  <c r="AE29" i="12" s="1"/>
  <c r="AE30" i="12" s="1"/>
  <c r="AD30" i="12"/>
  <c r="Y9" i="12"/>
  <c r="Y13" i="12" s="1"/>
  <c r="AE28" i="12" l="1"/>
  <c r="AF24" i="12" s="1"/>
  <c r="AF28" i="12" s="1"/>
  <c r="Y14" i="12"/>
  <c r="Y15" i="12" s="1"/>
  <c r="AF29" i="12" l="1"/>
  <c r="AF30" i="12" s="1"/>
  <c r="Z9" i="12"/>
  <c r="Z14" i="12" s="1"/>
  <c r="Z15" i="12" s="1"/>
  <c r="AG24" i="12" l="1"/>
  <c r="AG29" i="12" s="1"/>
  <c r="AG30" i="12" s="1"/>
  <c r="Z13" i="12"/>
  <c r="AA9" i="12" s="1"/>
  <c r="AA14" i="12" s="1"/>
  <c r="AA15" i="12" s="1"/>
  <c r="AG28" i="12" l="1"/>
  <c r="AH24" i="12" s="1"/>
  <c r="AH29" i="12" s="1"/>
  <c r="AH30" i="12" s="1"/>
  <c r="AA13" i="12"/>
  <c r="AH28" i="12" l="1"/>
  <c r="AI24" i="12" s="1"/>
  <c r="AI29" i="12" s="1"/>
  <c r="AI30" i="12" s="1"/>
  <c r="AB9" i="12"/>
  <c r="AB14" i="12" s="1"/>
  <c r="AI28" i="12" l="1"/>
  <c r="AJ24" i="12" s="1"/>
  <c r="AJ28" i="12" s="1"/>
  <c r="AB15" i="12"/>
  <c r="AB13" i="12"/>
  <c r="AC9" i="12" s="1"/>
  <c r="AJ29" i="12" l="1"/>
  <c r="AJ30" i="12" s="1"/>
  <c r="AC14" i="12"/>
  <c r="AC15" i="12" s="1"/>
  <c r="AC13" i="12"/>
  <c r="AK24" i="12" l="1"/>
  <c r="AK28" i="12" s="1"/>
  <c r="AL28" i="12" s="1"/>
  <c r="AD9" i="12"/>
  <c r="AD14" i="12" s="1"/>
  <c r="AD15" i="12" s="1"/>
  <c r="AK29" i="12" l="1"/>
  <c r="AD13" i="12"/>
  <c r="AE9" i="12" s="1"/>
  <c r="AE13" i="12" s="1"/>
  <c r="AK30" i="12" l="1"/>
  <c r="AL30" i="12" s="1"/>
  <c r="AS7" i="12" s="1"/>
  <c r="AL29" i="12"/>
  <c r="AE14" i="12"/>
  <c r="AE15" i="12" s="1"/>
  <c r="AF9" i="12" l="1"/>
  <c r="AF14" i="12" s="1"/>
  <c r="AF15" i="12" s="1"/>
  <c r="AF13" i="12" l="1"/>
  <c r="AG9" i="12" s="1"/>
  <c r="AG13" i="12" s="1"/>
  <c r="AG14" i="12" l="1"/>
  <c r="AG15" i="12" s="1"/>
  <c r="AH9" i="12" l="1"/>
  <c r="AH13" i="12" s="1"/>
  <c r="AH14" i="12" l="1"/>
  <c r="AH15" i="12" s="1"/>
  <c r="AI9" i="12" l="1"/>
  <c r="AI14" i="12" s="1"/>
  <c r="AI15" i="12" s="1"/>
  <c r="AI13" i="12" l="1"/>
  <c r="AJ9" i="12" s="1"/>
  <c r="AJ14" i="12" s="1"/>
  <c r="AJ13" i="12" l="1"/>
  <c r="AK9" i="12" s="1"/>
  <c r="AK14" i="12" s="1"/>
  <c r="AL14" i="12" s="1"/>
  <c r="AJ15" i="12"/>
  <c r="AK15" i="12" l="1"/>
  <c r="AK13" i="12"/>
  <c r="AL13" i="12" s="1"/>
  <c r="AL15" i="12" l="1"/>
  <c r="AS6" i="12" s="1"/>
  <c r="Z11" i="1" s="1"/>
  <c r="X11" i="1" s="1"/>
  <c r="I35" i="1" l="1"/>
</calcChain>
</file>

<file path=xl/sharedStrings.xml><?xml version="1.0" encoding="utf-8"?>
<sst xmlns="http://schemas.openxmlformats.org/spreadsheetml/2006/main" count="1589" uniqueCount="894">
  <si>
    <t>lpd</t>
  </si>
  <si>
    <t>Dutxa</t>
  </si>
  <si>
    <t>Inodor (WC)</t>
  </si>
  <si>
    <t>Lavabo</t>
  </si>
  <si>
    <t>Rentadora</t>
  </si>
  <si>
    <t>Cuina</t>
  </si>
  <si>
    <t>Rentavaixelles</t>
  </si>
  <si>
    <t>Aixetes</t>
  </si>
  <si>
    <t>Dotacions</t>
  </si>
  <si>
    <t>l/s</t>
  </si>
  <si>
    <t>Consum instantani</t>
  </si>
  <si>
    <t>Rentamans</t>
  </si>
  <si>
    <t>Banyera &lt; 1,40 m</t>
  </si>
  <si>
    <t>Bidet</t>
  </si>
  <si>
    <t>Inodor amb cisterna</t>
  </si>
  <si>
    <t>Inodor amb fluxor</t>
  </si>
  <si>
    <t>Pica</t>
  </si>
  <si>
    <t>Safareig</t>
  </si>
  <si>
    <t>Aixeta aïllada</t>
  </si>
  <si>
    <t>Banyera ≥ 1,40 m</t>
  </si>
  <si>
    <t>Tipus de planta</t>
  </si>
  <si>
    <t>Coef. cultiu</t>
  </si>
  <si>
    <t>Plantes de zona àrida</t>
  </si>
  <si>
    <t>Fruites</t>
  </si>
  <si>
    <t>Arbres</t>
  </si>
  <si>
    <t>Arbustos</t>
  </si>
  <si>
    <t>Flors</t>
  </si>
  <si>
    <t>Gespa</t>
  </si>
  <si>
    <t>Horta</t>
  </si>
  <si>
    <t>Sistema de reg</t>
  </si>
  <si>
    <t>Eficiència</t>
  </si>
  <si>
    <t>Mànega</t>
  </si>
  <si>
    <t>Aspersió</t>
  </si>
  <si>
    <t>Degoteig</t>
  </si>
  <si>
    <t>Mes</t>
  </si>
  <si>
    <t>Gener</t>
  </si>
  <si>
    <t>Febrer</t>
  </si>
  <si>
    <t>Març</t>
  </si>
  <si>
    <t>Abril</t>
  </si>
  <si>
    <t>Maig</t>
  </si>
  <si>
    <t>Juny</t>
  </si>
  <si>
    <t>Juliol</t>
  </si>
  <si>
    <t>Agost</t>
  </si>
  <si>
    <t>Setembre</t>
  </si>
  <si>
    <t>Octubre</t>
  </si>
  <si>
    <t>Novembre</t>
  </si>
  <si>
    <t>Desembre</t>
  </si>
  <si>
    <t>Total</t>
  </si>
  <si>
    <t>Pluviometria (mm)</t>
  </si>
  <si>
    <t>Superfície coberta</t>
  </si>
  <si>
    <t>Eficiència de recollida</t>
  </si>
  <si>
    <t>Aigua recollida (m³)</t>
  </si>
  <si>
    <t>Dotació domèstica</t>
  </si>
  <si>
    <t>DOMÈSTICA</t>
  </si>
  <si>
    <t>RESIDENTS</t>
  </si>
  <si>
    <t>OCUPACIÓ MITJANA ANUAL</t>
  </si>
  <si>
    <t>litres/dia</t>
  </si>
  <si>
    <t>Personalitzat</t>
  </si>
  <si>
    <t>REG</t>
  </si>
  <si>
    <t>VEGETACIÓ</t>
  </si>
  <si>
    <t>SUPERFÍCIE</t>
  </si>
  <si>
    <t>TIPUS DE REG</t>
  </si>
  <si>
    <t>m²</t>
  </si>
  <si>
    <t>DISPONIBILITAT D'AIGUA</t>
  </si>
  <si>
    <t>Residents</t>
  </si>
  <si>
    <t>Grau d'ocupació</t>
  </si>
  <si>
    <t>Dotació mitjana</t>
  </si>
  <si>
    <t>PRECIPITACIÓ</t>
  </si>
  <si>
    <t>SUPERFÍCIE DE RECOLLIDA</t>
  </si>
  <si>
    <t>mm/any</t>
  </si>
  <si>
    <t>m² coberta</t>
  </si>
  <si>
    <t>CONSUM
Fins a</t>
  </si>
  <si>
    <t>CAPACITAT DEL DIPÒSIT</t>
  </si>
  <si>
    <t>DIMENSIONAR PER</t>
  </si>
  <si>
    <t>DISPONIBILITAT</t>
  </si>
  <si>
    <t>DEMANDA</t>
  </si>
  <si>
    <t>VOLUM</t>
  </si>
  <si>
    <t>DEMANDA A COBRIR</t>
  </si>
  <si>
    <t>VOLUM RECOLLIT (Eficiència 80%)</t>
  </si>
  <si>
    <t>litres</t>
  </si>
  <si>
    <t>VOLUM ESCOLLIT</t>
  </si>
  <si>
    <t>DOSIFICACIÓ DE CLOR</t>
  </si>
  <si>
    <t>GRUP DE PRESSIÓ</t>
  </si>
  <si>
    <t>Consum simultani</t>
  </si>
  <si>
    <t>Consum total</t>
  </si>
  <si>
    <t>CABAL A IMPULSAR</t>
  </si>
  <si>
    <t>PRESSIÓ</t>
  </si>
  <si>
    <t>m³/h</t>
  </si>
  <si>
    <t>m.c.a</t>
  </si>
  <si>
    <t>DN</t>
  </si>
  <si>
    <t>Dint</t>
  </si>
  <si>
    <t>Diàmetre necessari</t>
  </si>
  <si>
    <t>CANONADA PROPOSADA</t>
  </si>
  <si>
    <t>CANONADES PE40 PN10</t>
  </si>
  <si>
    <t>Preu</t>
  </si>
  <si>
    <t>BAIXANTS PVC</t>
  </si>
  <si>
    <t>Coef. accessoris</t>
  </si>
  <si>
    <t>DIPÒSITS</t>
  </si>
  <si>
    <t>Volum</t>
  </si>
  <si>
    <t>DIPÒSITS CLORACIÓ</t>
  </si>
  <si>
    <t>Dipòsit</t>
  </si>
  <si>
    <t>Tapa</t>
  </si>
  <si>
    <t>FILTRE</t>
  </si>
  <si>
    <t>Superfície</t>
  </si>
  <si>
    <t>Aixeta</t>
  </si>
  <si>
    <t>Sobreeixidor</t>
  </si>
  <si>
    <t>BOIA</t>
  </si>
  <si>
    <t>Diàmetre</t>
  </si>
  <si>
    <t>Pressió</t>
  </si>
  <si>
    <t>Cabal</t>
  </si>
  <si>
    <t>Potència</t>
  </si>
  <si>
    <t>Regulador</t>
  </si>
  <si>
    <t>GRUP PRESSIÓ</t>
  </si>
  <si>
    <t>Dosificador</t>
  </si>
  <si>
    <t>COMPTADOR EMISSOR D'IMPULSOS</t>
  </si>
  <si>
    <t>Polzades</t>
  </si>
  <si>
    <t>mm</t>
  </si>
  <si>
    <t>CASETA</t>
  </si>
  <si>
    <t>Dimensions</t>
  </si>
  <si>
    <t>1,28x1,96x0,94</t>
  </si>
  <si>
    <t>1,86x2,26x1,25</t>
  </si>
  <si>
    <t>1,85x2,26x1,83</t>
  </si>
  <si>
    <t>Caseta</t>
  </si>
  <si>
    <t>RECOL·LECCIÓ I EMMAGATZEMATGE D'AIGÜES PLUVIALS</t>
  </si>
  <si>
    <t>Codi</t>
  </si>
  <si>
    <t>Concepte</t>
  </si>
  <si>
    <t>Preu unitari</t>
  </si>
  <si>
    <t>Amidament</t>
  </si>
  <si>
    <t>Import (sense IVA)</t>
  </si>
  <si>
    <t>TOTAL RECOL·LECCIÓ I EMMAGATZEMATGE D'AIGÜES PLUVIALS</t>
  </si>
  <si>
    <t>CLORACIÓ</t>
  </si>
  <si>
    <t>TOTAL CLORACIÓ</t>
  </si>
  <si>
    <t>Quadre elèctric per control del grup de pressió i el dosificador de clor</t>
  </si>
  <si>
    <t>TOTAL GRUP DE PRESSIÓ</t>
  </si>
  <si>
    <t>CANONADES, VÀLVULES I ACCESSORIS</t>
  </si>
  <si>
    <t>Canonada PVC gris per pluvials DN75.</t>
  </si>
  <si>
    <t>TOTAL CANONADES, VÀLVULES I ACCESSORIS</t>
  </si>
  <si>
    <t>MÀ D'OBRA</t>
  </si>
  <si>
    <t>Mà d'obra de tècnic especialista en lampisteria i fontaneria. Import per hores amb desplaçament inclòs</t>
  </si>
  <si>
    <t>TOTAL MÀ D'OBRA</t>
  </si>
  <si>
    <t>RESUM DE PRESSUPOST PLANTA PILOT</t>
  </si>
  <si>
    <t>TOTAL PLANTA PILOT</t>
  </si>
  <si>
    <t>IVA 21%</t>
  </si>
  <si>
    <t>TOTAL PLANTA PILOT IVA INCLÒS</t>
  </si>
  <si>
    <t>Filtre</t>
  </si>
  <si>
    <t>Sobreeixidor d'emergència,</t>
  </si>
  <si>
    <t>Dipòsit rectangular per aigua potable</t>
  </si>
  <si>
    <t>Vàlvula de flotador</t>
  </si>
  <si>
    <t>Bomba dosificadora d'hipoclorit sòdic</t>
  </si>
  <si>
    <t>Caseta de resina per allotjament d'equips</t>
  </si>
  <si>
    <t>Grup de pressió amb regulador</t>
  </si>
  <si>
    <t>Comptador d'aigua amb emissor d'impulsos</t>
  </si>
  <si>
    <t>Accessoris baixants</t>
  </si>
  <si>
    <t>Canonada PE40</t>
  </si>
  <si>
    <t>Accessoris canonada pressió</t>
  </si>
  <si>
    <t xml:space="preserve">Octubre </t>
  </si>
  <si>
    <t>Eto mitjana (mm/mes)</t>
  </si>
  <si>
    <t>Coeficient cultiu</t>
  </si>
  <si>
    <t>Plantes zona àrida</t>
  </si>
  <si>
    <t>Demanda de reg</t>
  </si>
  <si>
    <t>Demanda de reg (l/mes)</t>
  </si>
  <si>
    <t>Demanda de reg (l/dia)</t>
  </si>
  <si>
    <t>Pluja útil (%)</t>
  </si>
  <si>
    <t>Plúja útil (l/m²)</t>
  </si>
  <si>
    <t>Infiltració (%)</t>
  </si>
  <si>
    <t>Vegetació</t>
  </si>
  <si>
    <t>Pluja infiltrada (l/m²/dia)</t>
  </si>
  <si>
    <t xml:space="preserve">Pluja infiltrada (l/m²/mes) </t>
  </si>
  <si>
    <t>Total demanda diaria (l/dia)</t>
  </si>
  <si>
    <t>Pluja infiltrada diària (l)</t>
  </si>
  <si>
    <t>Demanda segons sistema reg (l/dia)</t>
  </si>
  <si>
    <t>Superfície (m²)</t>
  </si>
  <si>
    <t xml:space="preserve">Sistema de reg </t>
  </si>
  <si>
    <t>Màxim</t>
  </si>
  <si>
    <t xml:space="preserve">Demanda diària (l/dia) </t>
  </si>
  <si>
    <t>Dotació mitjana reg</t>
  </si>
  <si>
    <t>CONCENTRACIÓ HIPOCLORIT</t>
  </si>
  <si>
    <t>DOSI HIPOCLORIT</t>
  </si>
  <si>
    <t>PLANTES EDIFICI</t>
  </si>
  <si>
    <t>CAPACITAT</t>
  </si>
  <si>
    <t>DESINFECCIÓ PER RAJOS UV</t>
  </si>
  <si>
    <t>DESINFECCIÓ</t>
  </si>
  <si>
    <t>CABAL DE RECIRCULACIÓ</t>
  </si>
  <si>
    <t>TEMPS DE CONTACTE (hores)</t>
  </si>
  <si>
    <t>Sant Andreu</t>
  </si>
  <si>
    <t>PLUVIOMETRE</t>
  </si>
  <si>
    <t>PLUVIOMETRIA (mm)</t>
  </si>
  <si>
    <t>AIGUA RECOLLIDA (l/dia)</t>
  </si>
  <si>
    <t xml:space="preserve">Tens alguna banyera petita (menys de 1,40 m)? </t>
  </si>
  <si>
    <t>BANYS</t>
  </si>
  <si>
    <t>CUINA</t>
  </si>
  <si>
    <t>Cisterna</t>
  </si>
  <si>
    <t>Fluxor</t>
  </si>
  <si>
    <t>ALTRES</t>
  </si>
  <si>
    <t>Es disposa de rentavaixelles? Quants?</t>
  </si>
  <si>
    <t xml:space="preserve">Tens alguna banyera gran (igual o més de 1,40 m)? </t>
  </si>
  <si>
    <t>Quantes rentadores tens?</t>
  </si>
  <si>
    <t>Torna a l'aplicatiu</t>
  </si>
  <si>
    <t>XARXA DE PLUVIÒMETRES DEL PARC DEL MONTNEGRE I CORREDOR</t>
  </si>
  <si>
    <t>ESTALVI D'AIGUA</t>
  </si>
  <si>
    <t>AIGUA RECOLLIDA (m³/any)</t>
  </si>
  <si>
    <t>Demanda de reg (l/d)</t>
  </si>
  <si>
    <t>Demanda domèstica (l/d)</t>
  </si>
  <si>
    <t>Aigua recollida (l/d)</t>
  </si>
  <si>
    <t>Volum dipòsit (l)</t>
  </si>
  <si>
    <t>Pluviòmetre</t>
  </si>
  <si>
    <t>Demanda total</t>
  </si>
  <si>
    <t>Reserva d'aigua (l)</t>
  </si>
  <si>
    <t>VOLUM D'AIGUA ESTALVIAT</t>
  </si>
  <si>
    <t>TOTAL</t>
  </si>
  <si>
    <t>m³/any</t>
  </si>
  <si>
    <t>Aigua recollida (m³/any)</t>
  </si>
  <si>
    <t>Demanda domèstica (m³/any)</t>
  </si>
  <si>
    <t>Demanda reg (m³/any)</t>
  </si>
  <si>
    <t>Dèficit aigua (l)</t>
  </si>
  <si>
    <t>Sobrant aigua (l)</t>
  </si>
  <si>
    <t>Aigua recollida (l/mes)</t>
  </si>
  <si>
    <t>Demanda domèstica (l/mes)</t>
  </si>
  <si>
    <t>Dèficit aigua (l/mes)</t>
  </si>
  <si>
    <t>Demanda total (l/mes)</t>
  </si>
  <si>
    <t>Sobrant aigua (l/mes)</t>
  </si>
  <si>
    <t>Aigua recollida (m³/mes)</t>
  </si>
  <si>
    <t>Volum estalviat</t>
  </si>
  <si>
    <t xml:space="preserve">DEMANDA </t>
  </si>
  <si>
    <t>Diàmetre canonada</t>
  </si>
  <si>
    <t>Polzades boia</t>
  </si>
  <si>
    <t>Diàm. Comptador</t>
  </si>
  <si>
    <t>Cabal màxim</t>
  </si>
  <si>
    <t>Cabal 4,20</t>
  </si>
  <si>
    <t>Cabal 7,20</t>
  </si>
  <si>
    <t>RAJOS UV</t>
  </si>
  <si>
    <t>Làmpada UV</t>
  </si>
  <si>
    <t>Recanvis</t>
  </si>
  <si>
    <t>Làmpada</t>
  </si>
  <si>
    <t>Tub quars</t>
  </si>
  <si>
    <t>Bomba</t>
  </si>
  <si>
    <t>Bomba de recirculació</t>
  </si>
  <si>
    <t>Recanvi làmpada</t>
  </si>
  <si>
    <t>Recanvi tub quars</t>
  </si>
  <si>
    <t>Cabal recirculació</t>
  </si>
  <si>
    <t>TOTAL DESINFECCIÓ PER RAJOS UV</t>
  </si>
  <si>
    <t>Veure esquema de desinfecció amb hipoclorit</t>
  </si>
  <si>
    <t>Veure esquema de desinfecció per rajos UV</t>
  </si>
  <si>
    <t>ESQUEMA DEL SISTEMA D'APROFITAMENT D'AIGÜES PLUVIALS AMB DESINFECCIÓ PER CLORACIÓ</t>
  </si>
  <si>
    <t>ESQUEMA DEL SISTEMA D'APROFITAMENT D'AIGÜES PLUVIALS AMB DESINFECCIÓ PER RAJOS UV</t>
  </si>
  <si>
    <t>Desenvolupat per:</t>
  </si>
  <si>
    <t>Dies de període sec</t>
  </si>
  <si>
    <t>DIES DE RESERVA AL JULIOL</t>
  </si>
  <si>
    <t>PRECIPITACIÓ UTLITZADA</t>
  </si>
  <si>
    <t>Aigua recollida</t>
  </si>
  <si>
    <t>Demanda total (m³/any)</t>
  </si>
  <si>
    <t>De quants lavabos disposa l'habitatge?</t>
  </si>
  <si>
    <t>Quantes dutxes hi ha a l'habitatge?</t>
  </si>
  <si>
    <t>Quants bidets hi ha a l'habitatge?</t>
  </si>
  <si>
    <t>De quants inodors disposa l'habitatge? Son amb cisterna o amb fluxor?</t>
  </si>
  <si>
    <t>Quantes piques hi ha a l'habitatge?</t>
  </si>
  <si>
    <t>Hi ha algun safareig a l'habitatge?</t>
  </si>
  <si>
    <t>L'habitatge disposa d'alguna aixeta aïllada (jardí, garatge…)?</t>
  </si>
  <si>
    <t>DESINFECCIÓ AMB HIPOCLORIT</t>
  </si>
  <si>
    <t>DEMANDA COBERTA</t>
  </si>
  <si>
    <t>Demanda reg (l/dia)</t>
  </si>
  <si>
    <t>Dotació mitjana (l/m³/dia)</t>
  </si>
  <si>
    <t>Airejadors</t>
  </si>
  <si>
    <t>Reguladors</t>
  </si>
  <si>
    <t>Inodors secs</t>
  </si>
  <si>
    <t>MITJÀ</t>
  </si>
  <si>
    <t>Dades de precipitació</t>
  </si>
  <si>
    <t>DADES METEOROLÒGIQUES</t>
  </si>
  <si>
    <t>Dades d'evapotranspiració</t>
  </si>
  <si>
    <t>PLUVIOMETRIA</t>
  </si>
  <si>
    <t>Personalitzar dades meteorològiques</t>
  </si>
  <si>
    <t>COMARCA</t>
  </si>
  <si>
    <t>CODI</t>
  </si>
  <si>
    <t>Població</t>
  </si>
  <si>
    <t>Nom per llista</t>
  </si>
  <si>
    <t>GEN</t>
  </si>
  <si>
    <t>FEB</t>
  </si>
  <si>
    <t>MAR</t>
  </si>
  <si>
    <t>ABR</t>
  </si>
  <si>
    <t>MAi</t>
  </si>
  <si>
    <t>JUN</t>
  </si>
  <si>
    <t>JUL</t>
  </si>
  <si>
    <t>AGO</t>
  </si>
  <si>
    <t>SET</t>
  </si>
  <si>
    <t>OCT</t>
  </si>
  <si>
    <t>NOV</t>
  </si>
  <si>
    <t>DES</t>
  </si>
  <si>
    <t>ANY</t>
  </si>
  <si>
    <t>AltCamp</t>
  </si>
  <si>
    <t>VY</t>
  </si>
  <si>
    <t>Nulles</t>
  </si>
  <si>
    <t>AltCamp_VY_Nulles</t>
  </si>
  <si>
    <t>DQ</t>
  </si>
  <si>
    <t>Vila-rodona</t>
  </si>
  <si>
    <t>AltCamp_DQ_Vila-rodona</t>
  </si>
  <si>
    <t>Alt Emporda</t>
  </si>
  <si>
    <t>U1</t>
  </si>
  <si>
    <t>Cabanes</t>
  </si>
  <si>
    <t>Alt Emporda_U1_Cabanes</t>
  </si>
  <si>
    <t>W1</t>
  </si>
  <si>
    <t>Castelló d'Empúries</t>
  </si>
  <si>
    <t>Alt Emporda_W1_Castelló d'Empúries</t>
  </si>
  <si>
    <t>vz</t>
  </si>
  <si>
    <t>Espolia</t>
  </si>
  <si>
    <t>Alt Emporda_vz_Espolia</t>
  </si>
  <si>
    <t>Y5</t>
  </si>
  <si>
    <t>Navata</t>
  </si>
  <si>
    <t>Alt Emporda_Y5_Navata</t>
  </si>
  <si>
    <t>J5</t>
  </si>
  <si>
    <t>Panta de Darnius - Boadella</t>
  </si>
  <si>
    <t>Alt Emporda_J5_Panta de Darnius - Boadella</t>
  </si>
  <si>
    <t>D6</t>
  </si>
  <si>
    <t>Portbou</t>
  </si>
  <si>
    <t>Alt Emporda_D6_Portbou</t>
  </si>
  <si>
    <t>D4</t>
  </si>
  <si>
    <t>Roses</t>
  </si>
  <si>
    <t>Alt Emporda_D4_Roses</t>
  </si>
  <si>
    <t>U2</t>
  </si>
  <si>
    <t xml:space="preserve"> Sant Pere Pescador</t>
  </si>
  <si>
    <t>Alt Emporda_U2_ Sant Pere Pescador</t>
  </si>
  <si>
    <t>xz</t>
  </si>
  <si>
    <t>Torroella de Fluvia</t>
  </si>
  <si>
    <t>Alt Emporda_xz_Torroella de Fluvia</t>
  </si>
  <si>
    <t>Alt Penedes</t>
  </si>
  <si>
    <t>WP</t>
  </si>
  <si>
    <t>Canaletes</t>
  </si>
  <si>
    <t>Alt Penedes_WP_Canaletes</t>
  </si>
  <si>
    <t>DI</t>
  </si>
  <si>
    <t>Font-rubí</t>
  </si>
  <si>
    <t>Alt Penedes_DI_Font-rubí</t>
  </si>
  <si>
    <t>W4</t>
  </si>
  <si>
    <t>la Granada</t>
  </si>
  <si>
    <t>Alt Penedes_W4_la Granada</t>
  </si>
  <si>
    <t>U3</t>
  </si>
  <si>
    <t>Sant Martí Sarroca</t>
  </si>
  <si>
    <t>Alt Penedes_U3_Sant Martí Sarroca</t>
  </si>
  <si>
    <t>WY</t>
  </si>
  <si>
    <t>Sant Sadurní d'Anoia</t>
  </si>
  <si>
    <t>Alt Penedes_WY_Sant Sadurní d'Anoia</t>
  </si>
  <si>
    <t>Alt Urgell</t>
  </si>
  <si>
    <t>Y4</t>
  </si>
  <si>
    <t xml:space="preserve"> Alinya</t>
  </si>
  <si>
    <t>Alt Urgell_Y4_ Alinya</t>
  </si>
  <si>
    <t>CD</t>
  </si>
  <si>
    <t>la Seu d'Urgell - Bellestar</t>
  </si>
  <si>
    <t>Alt Urgell_CD_la Seu d'Urgell - Bellestar</t>
  </si>
  <si>
    <t>W5</t>
  </si>
  <si>
    <t>Oliana</t>
  </si>
  <si>
    <t>Alt Urgell_W5_Oliana</t>
  </si>
  <si>
    <t>CJ</t>
  </si>
  <si>
    <t>Organya</t>
  </si>
  <si>
    <t>Alt Urgell_CJ_Organya</t>
  </si>
  <si>
    <t>Alta Ribagorça</t>
  </si>
  <si>
    <t>Z2</t>
  </si>
  <si>
    <t>Boí (2.535 m)</t>
  </si>
  <si>
    <t>Alta Ribagorça_Z2_Boí (2.535 m)</t>
  </si>
  <si>
    <t>CT</t>
  </si>
  <si>
    <t>el Pont de Suert</t>
  </si>
  <si>
    <t>Alta Ribagorça_CT_el Pont de Suert</t>
  </si>
  <si>
    <t>Anoia</t>
  </si>
  <si>
    <t>CE</t>
  </si>
  <si>
    <t>els Hostalets de Pierola</t>
  </si>
  <si>
    <t>Anoia_CE_els Hostalets de Pierola</t>
  </si>
  <si>
    <t>XB</t>
  </si>
  <si>
    <t>la Llacuna</t>
  </si>
  <si>
    <t>Anoia_XB_la Llacuna</t>
  </si>
  <si>
    <t>XA</t>
  </si>
  <si>
    <t>la Panadella</t>
  </si>
  <si>
    <t>Anoia_XA_la Panadella</t>
  </si>
  <si>
    <t>H1</t>
  </si>
  <si>
    <t xml:space="preserve"> ódena</t>
  </si>
  <si>
    <t>Anoia_H1_ ódena</t>
  </si>
  <si>
    <t>Bages</t>
  </si>
  <si>
    <t>WW</t>
  </si>
  <si>
    <t>Artés</t>
  </si>
  <si>
    <t>Bages_WW_Artés</t>
  </si>
  <si>
    <t>MQ</t>
  </si>
  <si>
    <t>Cardona</t>
  </si>
  <si>
    <t>Bages_MQ_Cardona</t>
  </si>
  <si>
    <t>U4</t>
  </si>
  <si>
    <t xml:space="preserve"> Castellnou de Bages</t>
  </si>
  <si>
    <t>Bages_U4_ Castellnou de Bages</t>
  </si>
  <si>
    <t>R1</t>
  </si>
  <si>
    <t>el Pont de Vilomara</t>
  </si>
  <si>
    <t>Bages_R1_el Pont de Vilomara</t>
  </si>
  <si>
    <t>WN</t>
  </si>
  <si>
    <t>Montserrat - Sant Dimes</t>
  </si>
  <si>
    <t>Bages_WN_Montserrat - Sant Dimes</t>
  </si>
  <si>
    <t>CL</t>
  </si>
  <si>
    <t>Sant Salvador de Guardiola</t>
  </si>
  <si>
    <t>Bages_CL_Sant Salvador de Guardiola</t>
  </si>
  <si>
    <t>Baix Camp</t>
  </si>
  <si>
    <t>YF</t>
  </si>
  <si>
    <t>Mont-roig del Camp</t>
  </si>
  <si>
    <t>Baix Camp_YF_Mont-roig del Camp</t>
  </si>
  <si>
    <t>XR</t>
  </si>
  <si>
    <t>Prades</t>
  </si>
  <si>
    <t>Baix Camp_XR_Prades</t>
  </si>
  <si>
    <t>W6</t>
  </si>
  <si>
    <t>Riudoms</t>
  </si>
  <si>
    <t>Baix Camp_W6_Riudoms</t>
  </si>
  <si>
    <t>U6</t>
  </si>
  <si>
    <t xml:space="preserve"> Vinyolsi els Ares</t>
  </si>
  <si>
    <t>Baix Camp_U6_ Vinyolsi els Ares</t>
  </si>
  <si>
    <t>Baix Ebre</t>
  </si>
  <si>
    <t>U7</t>
  </si>
  <si>
    <t>Aldover</t>
  </si>
  <si>
    <t>Baix Ebre_U7_Aldover</t>
  </si>
  <si>
    <t>DB</t>
  </si>
  <si>
    <t>el Perelló</t>
  </si>
  <si>
    <t>Baix Ebre_DB_el Perelló</t>
  </si>
  <si>
    <t>U9</t>
  </si>
  <si>
    <t>l'Aldea</t>
  </si>
  <si>
    <t>Baix Ebre_U9_l'Aldea</t>
  </si>
  <si>
    <t>UA</t>
  </si>
  <si>
    <t>l'Amet llade Mar</t>
  </si>
  <si>
    <t>Baix Ebre_UA_l'Amet llade Mar</t>
  </si>
  <si>
    <t>X5</t>
  </si>
  <si>
    <t>PN deis Ports</t>
  </si>
  <si>
    <t>Baix Ebre_X5_PN deis Ports</t>
  </si>
  <si>
    <t>Baix Emporda</t>
  </si>
  <si>
    <t>DO</t>
  </si>
  <si>
    <t>Castell d'Aro</t>
  </si>
  <si>
    <t>Baix Emporda_DO_Castell d'Aro</t>
  </si>
  <si>
    <t>DF</t>
  </si>
  <si>
    <t>la Bisbal d'Emporda</t>
  </si>
  <si>
    <t>Baix Emporda_DF_la Bisbal d'Emporda</t>
  </si>
  <si>
    <t>UB</t>
  </si>
  <si>
    <t>la Tallada d'Emporda</t>
  </si>
  <si>
    <t>Baix Emporda_UB_la Tallada d'Emporda</t>
  </si>
  <si>
    <t>uc</t>
  </si>
  <si>
    <t>Monells</t>
  </si>
  <si>
    <t>Baix Emporda_uc_Monells</t>
  </si>
  <si>
    <t>UE</t>
  </si>
  <si>
    <t>Torroella de Montgrí</t>
  </si>
  <si>
    <t>Baix Emporda_UE_Torroella de Montgrí</t>
  </si>
  <si>
    <t>Baix Llobregat</t>
  </si>
  <si>
    <t>XL</t>
  </si>
  <si>
    <t>el Pral de Llobregat</t>
  </si>
  <si>
    <t>Baix Llobregat_XL_el Pral de Llobregat</t>
  </si>
  <si>
    <t>UF</t>
  </si>
  <si>
    <t>PN del Garraf - el Rascler</t>
  </si>
  <si>
    <t>Baix Llobregat_UF_PN del Garraf - el Rascler</t>
  </si>
  <si>
    <t>Y9</t>
  </si>
  <si>
    <t>Port de Barcelona - ZAL Prat</t>
  </si>
  <si>
    <t>Baix Llobregat_Y9_Port de Barcelona - ZAL Prat</t>
  </si>
  <si>
    <t>D3</t>
  </si>
  <si>
    <t>Vallirana</t>
  </si>
  <si>
    <t>Baix Llobregat_D3_Vallirana</t>
  </si>
  <si>
    <t>UG</t>
  </si>
  <si>
    <t>Viladecans</t>
  </si>
  <si>
    <t>Baix Llobregat_UG_Viladecans</t>
  </si>
  <si>
    <t>Baix Penedés</t>
  </si>
  <si>
    <t>WZ</t>
  </si>
  <si>
    <t>Cunit</t>
  </si>
  <si>
    <t>Baix Penedés_WZ_Cunit</t>
  </si>
  <si>
    <t>UH</t>
  </si>
  <si>
    <t>el Montmell</t>
  </si>
  <si>
    <t>Baix Penedés_UH_el Montmell</t>
  </si>
  <si>
    <t>D9</t>
  </si>
  <si>
    <t>el Vendrell</t>
  </si>
  <si>
    <t>Baix Penedés_D9_el Vendrell</t>
  </si>
  <si>
    <t>WO</t>
  </si>
  <si>
    <t>la Bisbal del Penedés</t>
  </si>
  <si>
    <t>Baix Penedés_WO_la Bisbal del Penedés</t>
  </si>
  <si>
    <t>Barcelonés</t>
  </si>
  <si>
    <t>WU</t>
  </si>
  <si>
    <t>Badalona - Museu</t>
  </si>
  <si>
    <t>Barcelonés_WU_Badalona - Museu</t>
  </si>
  <si>
    <t>X4</t>
  </si>
  <si>
    <t>Barcelona - el Raval</t>
  </si>
  <si>
    <t>Barcelonés_X4_Barcelona - el Raval</t>
  </si>
  <si>
    <t>D5</t>
  </si>
  <si>
    <t>Barcelona - Observatori Fabra</t>
  </si>
  <si>
    <t>Barcelonés_D5_Barcelona - Observatori Fabra</t>
  </si>
  <si>
    <t>X8</t>
  </si>
  <si>
    <t>Barcelona - Zona Universitaria</t>
  </si>
  <si>
    <t>Barcelonés_X8_Barcelona - Zona Universitaria</t>
  </si>
  <si>
    <t>Bergueda</t>
  </si>
  <si>
    <t>MS</t>
  </si>
  <si>
    <t>Castellar de n'Hug - el Clot del Moro</t>
  </si>
  <si>
    <t>Bergueda_MS_Castellar de n'Hug - el Clot del Moro</t>
  </si>
  <si>
    <t>UI</t>
  </si>
  <si>
    <t>Gisclareny</t>
  </si>
  <si>
    <t>Bergueda_UI_Gisclareny</t>
  </si>
  <si>
    <t>WV</t>
  </si>
  <si>
    <t>Guardiola de Bergueda</t>
  </si>
  <si>
    <t>Bergueda_WV_Guardiola de Bergueda</t>
  </si>
  <si>
    <t>CR</t>
  </si>
  <si>
    <t>laQuar</t>
  </si>
  <si>
    <t>Bergueda_CR_laQuar</t>
  </si>
  <si>
    <t>WM</t>
  </si>
  <si>
    <t>Santuari de Queralt</t>
  </si>
  <si>
    <t>Bergueda_WM_Santuari de Queralt</t>
  </si>
  <si>
    <t>Cerdanya</t>
  </si>
  <si>
    <t>z9</t>
  </si>
  <si>
    <t>Cadí Nord (2.143 m) - Prat d'Aguiló</t>
  </si>
  <si>
    <t>Cerdanya_z9_Cadí Nord (2.143 m) - Prat d'Aguiló</t>
  </si>
  <si>
    <t>DP</t>
  </si>
  <si>
    <t>Das - Aerodrom</t>
  </si>
  <si>
    <t>Cerdanya_DP_Das - Aerodrom</t>
  </si>
  <si>
    <t>Z3</t>
  </si>
  <si>
    <t>Malniu (2.230 m)</t>
  </si>
  <si>
    <t>Cerdanya_Z3_Malniu (2.230 m)</t>
  </si>
  <si>
    <t>YA</t>
  </si>
  <si>
    <t>Puigcerdil</t>
  </si>
  <si>
    <t>Cerdanya_YA_Puigcerdil</t>
  </si>
  <si>
    <t>Conca de B.</t>
  </si>
  <si>
    <t>W8</t>
  </si>
  <si>
    <t>Blancafort</t>
  </si>
  <si>
    <t>Conca de B._W8_Blancafort</t>
  </si>
  <si>
    <t>CW</t>
  </si>
  <si>
    <t>l'Espluga de Francolí</t>
  </si>
  <si>
    <t>Conca de B._CW_l'Espluga de Francolí</t>
  </si>
  <si>
    <t>UJ</t>
  </si>
  <si>
    <t>Santa Coloma de Queralt</t>
  </si>
  <si>
    <t>Conca de B._UJ_Santa Coloma de Queralt</t>
  </si>
  <si>
    <t>Garraf</t>
  </si>
  <si>
    <t>XU</t>
  </si>
  <si>
    <t>Canyelles</t>
  </si>
  <si>
    <t>Garraf_XU_Canyelles</t>
  </si>
  <si>
    <t>UK</t>
  </si>
  <si>
    <t>Sant Pere de Ribes - PN del Garraf</t>
  </si>
  <si>
    <t>Garraf_UK_Sant Pere de Ribes - PN del Garraf</t>
  </si>
  <si>
    <t>Garrigues</t>
  </si>
  <si>
    <t>UM</t>
  </si>
  <si>
    <t>la Granadella</t>
  </si>
  <si>
    <t>Garrigues_UM_la Granadella</t>
  </si>
  <si>
    <t>VD</t>
  </si>
  <si>
    <t>les Borges Blanques</t>
  </si>
  <si>
    <t>Garrigues_VD_les Borges Blanques</t>
  </si>
  <si>
    <t>Garrotxa</t>
  </si>
  <si>
    <t>W9</t>
  </si>
  <si>
    <t>la Vall d'en Bas</t>
  </si>
  <si>
    <t>Garrotxa_W9_la Vall d'en Bas</t>
  </si>
  <si>
    <t>YB</t>
  </si>
  <si>
    <t>Olot</t>
  </si>
  <si>
    <t>Garrotxa_YB_Olot</t>
  </si>
  <si>
    <t>Girones</t>
  </si>
  <si>
    <t>UN</t>
  </si>
  <si>
    <t>Cassa de la Selva</t>
  </si>
  <si>
    <t>Girones_UN_Cassa de la Selva</t>
  </si>
  <si>
    <t>uo</t>
  </si>
  <si>
    <t>Fornells de la Selva</t>
  </si>
  <si>
    <t>Girones_uo_Fornells de la Selva</t>
  </si>
  <si>
    <t>XJ</t>
  </si>
  <si>
    <t>Girona</t>
  </si>
  <si>
    <t>Girones_XJ_Girona</t>
  </si>
  <si>
    <t>Maresme</t>
  </si>
  <si>
    <t>UP</t>
  </si>
  <si>
    <t>Cabrils</t>
  </si>
  <si>
    <t>Maresme_UP_Cabrils</t>
  </si>
  <si>
    <t>UQ</t>
  </si>
  <si>
    <t>Dosrius - PN Montnegre Corredor</t>
  </si>
  <si>
    <t>Maresme_UQ_Dosrius - PN Montnegre Corredor</t>
  </si>
  <si>
    <t>WT</t>
  </si>
  <si>
    <t>Malgrat de Mar</t>
  </si>
  <si>
    <t>Maresme_WT_Malgrat de Mar</t>
  </si>
  <si>
    <t>Montsia</t>
  </si>
  <si>
    <t>US</t>
  </si>
  <si>
    <t>Alcanar</t>
  </si>
  <si>
    <t>Montsia_US_Alcanar</t>
  </si>
  <si>
    <t>UU</t>
  </si>
  <si>
    <t>Amposta</t>
  </si>
  <si>
    <t>Montsia_UU_Amposta</t>
  </si>
  <si>
    <t>UW</t>
  </si>
  <si>
    <t>els Alfacs</t>
  </si>
  <si>
    <t>Montsia_UW_els Alfacs</t>
  </si>
  <si>
    <t>DL</t>
  </si>
  <si>
    <t>lila de Buda</t>
  </si>
  <si>
    <t>Montsia_DL_lila de Buda</t>
  </si>
  <si>
    <t>C9</t>
  </si>
  <si>
    <t>Mas de Barberans</t>
  </si>
  <si>
    <t>Montsia_C9_Mas de Barberans</t>
  </si>
  <si>
    <t>UX</t>
  </si>
  <si>
    <t>Ulldecona - els Valentins</t>
  </si>
  <si>
    <t>Montsia_UX_Ulldecona - els Valentins</t>
  </si>
  <si>
    <t>Noguera</t>
  </si>
  <si>
    <t>WB</t>
  </si>
  <si>
    <t>Albesa</t>
  </si>
  <si>
    <t>Noguera_WB_Albesa</t>
  </si>
  <si>
    <t>WG</t>
  </si>
  <si>
    <t>Algerri</t>
  </si>
  <si>
    <t>Noguera_WG_Algerri</t>
  </si>
  <si>
    <t>X6</t>
  </si>
  <si>
    <t>Baldomar</t>
  </si>
  <si>
    <t>Noguera_X6_Baldomar</t>
  </si>
  <si>
    <t>WX</t>
  </si>
  <si>
    <t>Camarasa</t>
  </si>
  <si>
    <t>Noguera_WX_Camarasa</t>
  </si>
  <si>
    <t>WA</t>
  </si>
  <si>
    <t>Oliola</t>
  </si>
  <si>
    <t>Noguera_WA_Oliola</t>
  </si>
  <si>
    <t>UY</t>
  </si>
  <si>
    <t>Os de Balaguer - el Monestir d'Avellanes</t>
  </si>
  <si>
    <t>Noguera_UY_Os de Balaguer - el Monestir d'Avellanes</t>
  </si>
  <si>
    <t>V1</t>
  </si>
  <si>
    <t>Vallfogona de Balaguer</t>
  </si>
  <si>
    <t>Noguera_V1_Vallfogona de Balaguer</t>
  </si>
  <si>
    <t>CQ</t>
  </si>
  <si>
    <t>Vilanova de Meia</t>
  </si>
  <si>
    <t>Noguera_CQ_Vilanova de Meia</t>
  </si>
  <si>
    <t>Osona</t>
  </si>
  <si>
    <t>V3</t>
  </si>
  <si>
    <t>Gurb</t>
  </si>
  <si>
    <t>Osona_V3_Gurb</t>
  </si>
  <si>
    <t>V4</t>
  </si>
  <si>
    <t>Montesquiu</t>
  </si>
  <si>
    <t>Osona_V4_Montesquiu</t>
  </si>
  <si>
    <t>CY</t>
  </si>
  <si>
    <t>Muntanyola</t>
  </si>
  <si>
    <t>Osona_CY_Muntanyola</t>
  </si>
  <si>
    <t>ce</t>
  </si>
  <si>
    <t>Orís</t>
  </si>
  <si>
    <t>Osona_ce_Orís</t>
  </si>
  <si>
    <t>KE</t>
  </si>
  <si>
    <t>Panta de Sau</t>
  </si>
  <si>
    <t>Osona_KE_Panta de Sau</t>
  </si>
  <si>
    <t>V5</t>
  </si>
  <si>
    <t>Perafita</t>
  </si>
  <si>
    <t>Osona_V5_Perafita</t>
  </si>
  <si>
    <t>xo</t>
  </si>
  <si>
    <t>Vic</t>
  </si>
  <si>
    <t>Osona_xo_Vic</t>
  </si>
  <si>
    <t>WS</t>
  </si>
  <si>
    <t>Viladrau</t>
  </si>
  <si>
    <t>Osona_WS_Viladrau</t>
  </si>
  <si>
    <t>Pallars Jussà</t>
  </si>
  <si>
    <t>YC</t>
  </si>
  <si>
    <t>la Pobla de Segur</t>
  </si>
  <si>
    <t>Pallars Jussà_YC_la Pobla de Segur</t>
  </si>
  <si>
    <t>WQ</t>
  </si>
  <si>
    <t>Montsec d'Ares (1.572 m)</t>
  </si>
  <si>
    <t>Pallars Jussà_WQ_Montsec d'Ares (1.572 m)</t>
  </si>
  <si>
    <t>CP</t>
  </si>
  <si>
    <t>Sant Roma d'Abella</t>
  </si>
  <si>
    <t>Pallars Jussà_CP_Sant Roma d'Abella</t>
  </si>
  <si>
    <t>XQ</t>
  </si>
  <si>
    <t>Tremp</t>
  </si>
  <si>
    <t>Pallars Jussà_XQ_Tremp</t>
  </si>
  <si>
    <t>Pallars Sobira</t>
  </si>
  <si>
    <t>Z1</t>
  </si>
  <si>
    <t>Bonaigua (2.266 m)</t>
  </si>
  <si>
    <t>Pallars Sobira_Z1_Bonaigua (2.266 m)</t>
  </si>
  <si>
    <t>Z5</t>
  </si>
  <si>
    <t>Certascan (2.400 m)</t>
  </si>
  <si>
    <t>Pallars Sobira_Z5_Certascan (2.400 m)</t>
  </si>
  <si>
    <t>Z7</t>
  </si>
  <si>
    <t>Espot (2.519 m)</t>
  </si>
  <si>
    <t>Pallars Sobira_Z7_Espot (2.519 m)</t>
  </si>
  <si>
    <t>ZB</t>
  </si>
  <si>
    <t>Salória (2.451 m)</t>
  </si>
  <si>
    <t>Pallars Sobira_ZB_Salória (2.451 m)</t>
  </si>
  <si>
    <t>XH</t>
  </si>
  <si>
    <t>Sort</t>
  </si>
  <si>
    <t>Pallars Sobira_XH_Sort</t>
  </si>
  <si>
    <t>Pla de l'Estany</t>
  </si>
  <si>
    <t>DJ</t>
  </si>
  <si>
    <t>Banyoles</t>
  </si>
  <si>
    <t>Pla de l'Estany_DJ_Banyoles</t>
  </si>
  <si>
    <t>Pla d'Urgell</t>
  </si>
  <si>
    <t>C6</t>
  </si>
  <si>
    <t>Castellnou de Seana</t>
  </si>
  <si>
    <t>Pla d'Urgell_C6_Castellnou de Seana</t>
  </si>
  <si>
    <t>V8</t>
  </si>
  <si>
    <t>el Poal</t>
  </si>
  <si>
    <t>Pla d'Urgell_V8_el Poal</t>
  </si>
  <si>
    <t>WC</t>
  </si>
  <si>
    <t>Golmés</t>
  </si>
  <si>
    <t>Pla d'Urgell_WC_Golmés</t>
  </si>
  <si>
    <t>XI</t>
  </si>
  <si>
    <t>Mollerussa</t>
  </si>
  <si>
    <t>Pla d'Urgell_XI_Mollerussa</t>
  </si>
  <si>
    <t>Priorat</t>
  </si>
  <si>
    <t>WJ</t>
  </si>
  <si>
    <t>el Masroig</t>
  </si>
  <si>
    <t>Priorat_WJ_el Masroig</t>
  </si>
  <si>
    <t>X1</t>
  </si>
  <si>
    <t>Falset</t>
  </si>
  <si>
    <t>Priorat_X1_Falset</t>
  </si>
  <si>
    <t>D1</t>
  </si>
  <si>
    <t>Margalef</t>
  </si>
  <si>
    <t>Priorat_D1_Margalef</t>
  </si>
  <si>
    <t>MR</t>
  </si>
  <si>
    <t>Panta de Siurana</t>
  </si>
  <si>
    <t>Priorat_MR_Panta de Siurana</t>
  </si>
  <si>
    <t>WR</t>
  </si>
  <si>
    <t>Torroja del Priorat</t>
  </si>
  <si>
    <t>Priorat_WR_Torroja del Priorat</t>
  </si>
  <si>
    <t>XD</t>
  </si>
  <si>
    <t>Ulldemolins</t>
  </si>
  <si>
    <t>Priorat_XD_Ulldemolins</t>
  </si>
  <si>
    <t>Ribera d'Ebre</t>
  </si>
  <si>
    <t>VA</t>
  </si>
  <si>
    <t>Aseó</t>
  </si>
  <si>
    <t>Ribera d'Ebre_VA_Aseó</t>
  </si>
  <si>
    <t>VB</t>
  </si>
  <si>
    <t>Benissanet</t>
  </si>
  <si>
    <t>Ribera d'Ebre_VB_Benissanet</t>
  </si>
  <si>
    <t>ve</t>
  </si>
  <si>
    <t>Panta de Riba-roja</t>
  </si>
  <si>
    <t>Ribera d'Ebre_ve_Panta de Riba-roja</t>
  </si>
  <si>
    <t>Y6</t>
  </si>
  <si>
    <t>Tivissa</t>
  </si>
  <si>
    <t>Ribera d'Ebre_Y6_Tivissa</t>
  </si>
  <si>
    <t>D7</t>
  </si>
  <si>
    <t>Vinebre</t>
  </si>
  <si>
    <t>Ribera d'Ebre_D7_Vinebre</t>
  </si>
  <si>
    <t>Ripolles</t>
  </si>
  <si>
    <t>CG</t>
  </si>
  <si>
    <t>Molió- Fabert</t>
  </si>
  <si>
    <t>Ripolles_CG_Molió- Fabert</t>
  </si>
  <si>
    <t>DG</t>
  </si>
  <si>
    <t>Núria (1.971 m)</t>
  </si>
  <si>
    <t>Ripolles_DG_Núria (1.971 m)</t>
  </si>
  <si>
    <t>M6</t>
  </si>
  <si>
    <t>Sant Joan de les Abadesses</t>
  </si>
  <si>
    <t>Ripolles_M6_Sant Joan de les Abadesses</t>
  </si>
  <si>
    <t>CI</t>
  </si>
  <si>
    <t>Sant Pau de Segúries</t>
  </si>
  <si>
    <t>Ripolles_CI_Sant Pau de Segúries</t>
  </si>
  <si>
    <t>zc</t>
  </si>
  <si>
    <t>Ulldeter (2.41O m)</t>
  </si>
  <si>
    <t>Ripolles_zc_Ulldeter (2.41O m)</t>
  </si>
  <si>
    <t>Segarra</t>
  </si>
  <si>
    <t>C8</t>
  </si>
  <si>
    <t>Cervera</t>
  </si>
  <si>
    <t>Segarra_C8_Cervera</t>
  </si>
  <si>
    <t>el Canós</t>
  </si>
  <si>
    <t>Segarra_VD_el Canós</t>
  </si>
  <si>
    <t>YE</t>
  </si>
  <si>
    <t>Massoteres</t>
  </si>
  <si>
    <t>Segarra_YE_Massoteres</t>
  </si>
  <si>
    <t>Segria</t>
  </si>
  <si>
    <t>VE</t>
  </si>
  <si>
    <t>Aitona</t>
  </si>
  <si>
    <t>Segria_VE_Aitona</t>
  </si>
  <si>
    <t>XY</t>
  </si>
  <si>
    <t>Alcarras</t>
  </si>
  <si>
    <t>Segria_XY_Alcarras</t>
  </si>
  <si>
    <t>WK</t>
  </si>
  <si>
    <t>Alfarras</t>
  </si>
  <si>
    <t>Segria_WK_Alfarras</t>
  </si>
  <si>
    <t>X3</t>
  </si>
  <si>
    <t>Alguaire</t>
  </si>
  <si>
    <t>Segria_X3_Alguaire</t>
  </si>
  <si>
    <t>XM</t>
  </si>
  <si>
    <t>els Alamús</t>
  </si>
  <si>
    <t>Segria_XM_els Alamús</t>
  </si>
  <si>
    <t>VH</t>
  </si>
  <si>
    <t>Gimenells</t>
  </si>
  <si>
    <t>Segria_VH_Gimenells</t>
  </si>
  <si>
    <t>WI</t>
  </si>
  <si>
    <t>Maials</t>
  </si>
  <si>
    <t>Segria_WI_Maials</t>
  </si>
  <si>
    <t>VK</t>
  </si>
  <si>
    <t>Raimat</t>
  </si>
  <si>
    <t>Segria_VK_Raimat</t>
  </si>
  <si>
    <t>XN</t>
  </si>
  <si>
    <t>Seros</t>
  </si>
  <si>
    <t>Segria_XN_Seros</t>
  </si>
  <si>
    <t>X7</t>
  </si>
  <si>
    <t>Torres de Segre</t>
  </si>
  <si>
    <t>Segria_X7_Torres de Segre</t>
  </si>
  <si>
    <t>VM</t>
  </si>
  <si>
    <t>Vilanova de Segria</t>
  </si>
  <si>
    <t>Segria_VM_Vilanova de Segria</t>
  </si>
  <si>
    <t>Selva</t>
  </si>
  <si>
    <t>Angles</t>
  </si>
  <si>
    <t>Selva_DN_Angles</t>
  </si>
  <si>
    <t>KP</t>
  </si>
  <si>
    <t>Fogars de la Selva</t>
  </si>
  <si>
    <t>Selva_KP_Fogars de la Selva</t>
  </si>
  <si>
    <t>xs</t>
  </si>
  <si>
    <t>Santa Coloma de Farners</t>
  </si>
  <si>
    <t>Selva_xs_Santa Coloma de Farners</t>
  </si>
  <si>
    <t>VN</t>
  </si>
  <si>
    <t>Vilobí d'Onyar</t>
  </si>
  <si>
    <t>Selva_VN_Vilobí d'Onyar</t>
  </si>
  <si>
    <t>Solsones</t>
  </si>
  <si>
    <t>Z8</t>
  </si>
  <si>
    <t>el Port del Comte (2.316 m)</t>
  </si>
  <si>
    <t>Solsones_Z8_el Port del Comte (2.316 m)</t>
  </si>
  <si>
    <t>MV</t>
  </si>
  <si>
    <t>Guixers - Valls</t>
  </si>
  <si>
    <t>Solsones_MV_Guixers - Valls</t>
  </si>
  <si>
    <t>vo</t>
  </si>
  <si>
    <t>Lladurs</t>
  </si>
  <si>
    <t>Solsones_vo_Lladurs</t>
  </si>
  <si>
    <t>MW</t>
  </si>
  <si>
    <t>Naves</t>
  </si>
  <si>
    <t>Solsones_MW_Naves</t>
  </si>
  <si>
    <t>VP</t>
  </si>
  <si>
    <t>Pinós</t>
  </si>
  <si>
    <t>Solsones_VP_Pinós</t>
  </si>
  <si>
    <t>XT</t>
  </si>
  <si>
    <t>Solsona</t>
  </si>
  <si>
    <t>Solsones_XT_Solsona</t>
  </si>
  <si>
    <t>Tarragones</t>
  </si>
  <si>
    <t>VQ</t>
  </si>
  <si>
    <t>Constantí</t>
  </si>
  <si>
    <t>Tarragones_VQ_Constantí</t>
  </si>
  <si>
    <t>XE</t>
  </si>
  <si>
    <t>Tarragona - Complex Educatiu</t>
  </si>
  <si>
    <t>Tarragones_XE_Tarragona - Complex Educatiu</t>
  </si>
  <si>
    <t>DK</t>
  </si>
  <si>
    <t>Torredembarra</t>
  </si>
  <si>
    <t>Tarragones_DK_Torredembarra</t>
  </si>
  <si>
    <t>Terra Alta</t>
  </si>
  <si>
    <t>WD</t>
  </si>
  <si>
    <t>Batea</t>
  </si>
  <si>
    <t>Terra Alta_WD_Batea</t>
  </si>
  <si>
    <t>XP</t>
  </si>
  <si>
    <t>Gandesa</t>
  </si>
  <si>
    <t>Terra Alta_XP_Gandesa</t>
  </si>
  <si>
    <t>D8</t>
  </si>
  <si>
    <t>Horta de Sant Joan</t>
  </si>
  <si>
    <t>Terra Alta_D8_Horta de Sant Joan</t>
  </si>
  <si>
    <t>Urgell</t>
  </si>
  <si>
    <t>WL</t>
  </si>
  <si>
    <t>Sant Martí de Riucorb</t>
  </si>
  <si>
    <t>Urgell_WL_Sant Martí de Riucorb</t>
  </si>
  <si>
    <t>C7</t>
  </si>
  <si>
    <t>Tarrega</t>
  </si>
  <si>
    <t>Urgell_C7_Tarrega</t>
  </si>
  <si>
    <t>XX</t>
  </si>
  <si>
    <t>Tornabous</t>
  </si>
  <si>
    <t>Urgell_XX_Tornabous</t>
  </si>
  <si>
    <t>Val d'Aran</t>
  </si>
  <si>
    <t>vs</t>
  </si>
  <si>
    <t>Lac Redan (2.247 m)</t>
  </si>
  <si>
    <t>Val d'Aran_vs_Lac Redan (2.247 m)</t>
  </si>
  <si>
    <t>Z6</t>
  </si>
  <si>
    <t xml:space="preserve"> Sasseuva (2.228 m)</t>
  </si>
  <si>
    <t>Val d'Aran_Z6_ Sasseuva (2.228 m)</t>
  </si>
  <si>
    <t>cu</t>
  </si>
  <si>
    <t>Vielha</t>
  </si>
  <si>
    <t>Val d'Aran_cu_Vielha</t>
  </si>
  <si>
    <t>Valles Occ.</t>
  </si>
  <si>
    <t>XC</t>
  </si>
  <si>
    <t>Castellbisbal</t>
  </si>
  <si>
    <t>Valles Occ._XC_Castellbisbal</t>
  </si>
  <si>
    <t>vu</t>
  </si>
  <si>
    <t>Rellinars</t>
  </si>
  <si>
    <t>Valles Occ._vu_Rellinars</t>
  </si>
  <si>
    <t>XF</t>
  </si>
  <si>
    <t>Sabadell - Pare Agrari</t>
  </si>
  <si>
    <t>Valles Occ._XF_Sabadell - Pare Agrari</t>
  </si>
  <si>
    <t>XV</t>
  </si>
  <si>
    <t>Sant Cugat del Valles - CAR</t>
  </si>
  <si>
    <t>Valles Occ._XV_Sant Cugat del Valles - CAR</t>
  </si>
  <si>
    <t>vv</t>
  </si>
  <si>
    <t>Sant Llorenç Savall</t>
  </si>
  <si>
    <t>Valles Occ._vv_Sant Llorenç Savall</t>
  </si>
  <si>
    <t>D2</t>
  </si>
  <si>
    <t>Vacarisses</t>
  </si>
  <si>
    <t>Valles Occ._D2_Vacarisses</t>
  </si>
  <si>
    <t>Valles Oriental</t>
  </si>
  <si>
    <t>X9</t>
  </si>
  <si>
    <t>Caldes de Montbui</t>
  </si>
  <si>
    <t>Valles Oriental_X9_Caldes de Montbui</t>
  </si>
  <si>
    <t>KX</t>
  </si>
  <si>
    <t>la Roca del Valles - ETAP Cardedeu</t>
  </si>
  <si>
    <t>Valles Oriental_KX_la Roca del Valles - ETAP Cardedeu</t>
  </si>
  <si>
    <t>XG</t>
  </si>
  <si>
    <t>Parets del Valles</t>
  </si>
  <si>
    <t>Valles Oriental_XG_Parets del Valles</t>
  </si>
  <si>
    <t>XK</t>
  </si>
  <si>
    <t>Puig Sesolles (1.668m)</t>
  </si>
  <si>
    <t>Valles Oriental_XK_Puig Sesolles (1.668m)</t>
  </si>
  <si>
    <t>VX</t>
  </si>
  <si>
    <t>Tagamanent - PN del Montseny</t>
  </si>
  <si>
    <t>Valles Oriental_VX_Tagamanent - PN del Montseny</t>
  </si>
  <si>
    <t>WE</t>
  </si>
  <si>
    <t>Vilanova del Valles</t>
  </si>
  <si>
    <t>Valles Oriental_WE_Vilanova del Valles</t>
  </si>
  <si>
    <t>----------------------------</t>
  </si>
  <si>
    <t>RESERVA JULIOL</t>
  </si>
  <si>
    <t>masies</t>
  </si>
  <si>
    <t>excel creat a partir del treball/estudi fet: (logo d'origen més logos ddgi diba i pn)</t>
  </si>
  <si>
    <t>Selva (estació: Fogars de la Selva)</t>
  </si>
  <si>
    <t>Selva (estació: Angles)</t>
  </si>
  <si>
    <t>Osona (estació: Viladrau)</t>
  </si>
  <si>
    <t>Selva (estació: Santa Coloma de Farners)</t>
  </si>
  <si>
    <t>INTRUCCIONS</t>
  </si>
  <si>
    <t xml:space="preserve">                      DEMANDA A COBRIR</t>
  </si>
  <si>
    <t xml:space="preserve">    Omplir els següents camps en groc:</t>
  </si>
  <si>
    <t xml:space="preserve">                                          REG</t>
  </si>
  <si>
    <t xml:space="preserve">      Seleccionar el tipus de reg en el desplegable. 
      Superfície de reg en metres quadrats (m²)</t>
  </si>
  <si>
    <t xml:space="preserve">                   DISPONIBILITAT D'AIGUA</t>
  </si>
  <si>
    <t xml:space="preserve">        CALDRA INCORPORAR AQUESTES DADES A LA MEMÒRIA/PROJECTE DE LA SOL·LICITUD DE  SUBVENCIÓ</t>
  </si>
  <si>
    <t>Aplicació d'excel creat a partir dels treballs fets al  Parc Natural del Montnegre Corredor desenvolupats per:</t>
  </si>
  <si>
    <t xml:space="preserve">     Nombre de residents
     Ocupació mitjana anual en percentage (%)
     Seleccionar els punts de consum ☑
</t>
  </si>
  <si>
    <t xml:space="preserve">      Seleccionar l'estació pluviomètrica de referència
      Superfície de coberta per la recollida en metres quadrats (m²)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</si>
</sst>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00"/>
    <numFmt numFmtId="166" formatCode="#,##0\ &quot;m²&quot;"/>
    <numFmt numFmtId="167" formatCode="0\ &quot;lpd&quot;"/>
    <numFmt numFmtId="168" formatCode="0\ &quot;litres/dia&quot;"/>
    <numFmt numFmtId="169" formatCode="0.0"/>
    <numFmt numFmtId="170" formatCode="0.0\ &quot;m³/any&quot;"/>
    <numFmt numFmtId="171" formatCode="0.0\ &quot;litres/dia&quot;"/>
    <numFmt numFmtId="172" formatCode="#,##0\ &quot;mm/any&quot;"/>
    <numFmt numFmtId="173" formatCode="#,##0.0\ &quot;m³&quot;"/>
    <numFmt numFmtId="174" formatCode="0\ &quot;l&quot;"/>
    <numFmt numFmtId="175" formatCode="0.0\ &quot;mg/l&quot;"/>
    <numFmt numFmtId="176" formatCode="0\ &quot;g/l&quot;"/>
    <numFmt numFmtId="177" formatCode="0.00\ &quot;ml&quot;"/>
    <numFmt numFmtId="178" formatCode="0.00\ &quot;l/s&quot;"/>
    <numFmt numFmtId="179" formatCode="0.00\ &quot;m³/h&quot;"/>
    <numFmt numFmtId="180" formatCode="0.00\ &quot;mm&quot;"/>
    <numFmt numFmtId="181" formatCode="0.00\ &quot;€/m&quot;"/>
    <numFmt numFmtId="182" formatCode="_-* #,##0\ _€_-;\-* #,##0\ _€_-;_-* &quot;-&quot;??\ _€_-;_-@_-"/>
    <numFmt numFmtId="183" formatCode="#,##0\ &quot;l&quot;"/>
    <numFmt numFmtId="184" formatCode="0\ &quot;mca&quot;"/>
    <numFmt numFmtId="185" formatCode="0.00\ &quot;kW&quot;"/>
    <numFmt numFmtId="186" formatCode="0.0%"/>
    <numFmt numFmtId="187" formatCode="#,##0.00\ &quot;€&quot;"/>
    <numFmt numFmtId="188" formatCode="0.00\ &quot;m³&quot;"/>
    <numFmt numFmtId="189" formatCode="0.00\ &quot;l/m²/dia&quot;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24"/>
      <color theme="0"/>
      <name val="Calibri"/>
      <family val="2"/>
      <scheme val="minor"/>
    </font>
    <font>
      <b/>
      <sz val="10"/>
      <color theme="0"/>
      <name val="Arial Narrow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7" tint="-0.249977111117893"/>
      <name val="Arial Narrow"/>
      <family val="2"/>
    </font>
    <font>
      <b/>
      <sz val="16"/>
      <color theme="0"/>
      <name val="Arial"/>
      <family val="2"/>
    </font>
    <font>
      <b/>
      <sz val="10"/>
      <color theme="9" tint="-0.249977111117893"/>
      <name val="Arial Narrow"/>
      <family val="2"/>
    </font>
    <font>
      <b/>
      <sz val="14"/>
      <color theme="0"/>
      <name val="Calibri"/>
      <family val="2"/>
      <scheme val="minor"/>
    </font>
    <font>
      <b/>
      <sz val="10"/>
      <color theme="4" tint="-0.499984740745262"/>
      <name val="Arial Narrow"/>
      <family val="2"/>
    </font>
    <font>
      <b/>
      <sz val="11"/>
      <color theme="0"/>
      <name val="Arial Narrow"/>
      <family val="2"/>
    </font>
    <font>
      <b/>
      <sz val="12"/>
      <color theme="0"/>
      <name val="Arial Narrow"/>
      <family val="2"/>
    </font>
    <font>
      <b/>
      <u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 Narrow"/>
      <family val="2"/>
    </font>
    <font>
      <b/>
      <sz val="14"/>
      <color theme="0"/>
      <name val="Arial Narrow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b/>
      <sz val="11.5"/>
      <color theme="0"/>
      <name val="Arial Narrow"/>
      <family val="2"/>
    </font>
    <font>
      <u/>
      <sz val="11"/>
      <color theme="10"/>
      <name val="Calibri"/>
      <family val="2"/>
      <scheme val="minor"/>
    </font>
    <font>
      <u/>
      <sz val="10"/>
      <color theme="0"/>
      <name val="Calibri"/>
      <family val="2"/>
      <scheme val="minor"/>
    </font>
    <font>
      <u/>
      <sz val="9"/>
      <color theme="0"/>
      <name val="Calibri"/>
      <family val="2"/>
      <scheme val="minor"/>
    </font>
    <font>
      <b/>
      <sz val="11"/>
      <name val="Arial Narrow"/>
      <family val="2"/>
    </font>
    <font>
      <b/>
      <sz val="17"/>
      <color theme="0"/>
      <name val="Calibri"/>
      <family val="2"/>
      <scheme val="minor"/>
    </font>
    <font>
      <b/>
      <sz val="18"/>
      <color theme="0"/>
      <name val="Arial"/>
      <family val="2"/>
    </font>
    <font>
      <b/>
      <sz val="16"/>
      <color theme="0"/>
      <name val="Arial Narrow"/>
      <family val="2"/>
    </font>
    <font>
      <b/>
      <sz val="17"/>
      <color theme="0"/>
      <name val="Arial"/>
      <family val="2"/>
    </font>
    <font>
      <sz val="8"/>
      <color theme="0"/>
      <name val="Arial Narrow"/>
      <family val="2"/>
    </font>
    <font>
      <sz val="12"/>
      <color theme="1"/>
      <name val="Arial Narrow"/>
      <family val="2"/>
    </font>
    <font>
      <sz val="9"/>
      <color theme="1"/>
      <name val="Calibri"/>
      <family val="2"/>
    </font>
    <font>
      <sz val="12"/>
      <color rgb="FF303030"/>
      <name val="Arial"/>
      <family val="2"/>
    </font>
    <font>
      <b/>
      <sz val="24"/>
      <color theme="7"/>
      <name val="Calibri"/>
      <family val="2"/>
      <scheme val="minor"/>
    </font>
    <font>
      <b/>
      <sz val="14"/>
      <color theme="7"/>
      <name val="Calibri"/>
      <family val="2"/>
      <scheme val="minor"/>
    </font>
    <font>
      <b/>
      <sz val="11"/>
      <color theme="7"/>
      <name val="Arial Narrow"/>
      <family val="2"/>
    </font>
    <font>
      <b/>
      <sz val="15"/>
      <color theme="7"/>
      <name val="Arial"/>
      <family val="2"/>
    </font>
    <font>
      <sz val="10"/>
      <color theme="0"/>
      <name val="Arial"/>
      <family val="2"/>
    </font>
    <font>
      <b/>
      <i/>
      <sz val="10"/>
      <color theme="1"/>
      <name val="Arial"/>
      <family val="2"/>
    </font>
    <font>
      <b/>
      <sz val="12"/>
      <color theme="4" tint="-0.499984740745262"/>
      <name val="Arial Narrow"/>
      <family val="2"/>
    </font>
    <font>
      <sz val="11"/>
      <color theme="7"/>
      <name val="Calibri"/>
      <family val="2"/>
      <scheme val="minor"/>
    </font>
    <font>
      <sz val="8"/>
      <color theme="7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7"/>
      <name val="Arial Narrow"/>
      <family val="2"/>
    </font>
    <font>
      <b/>
      <sz val="12"/>
      <color theme="7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7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751CB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632A8E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theme="7" tint="-0.24994659260841701"/>
      </top>
      <bottom/>
      <diagonal/>
    </border>
    <border>
      <left/>
      <right/>
      <top/>
      <bottom style="thick">
        <color theme="7" tint="-0.24994659260841701"/>
      </bottom>
      <diagonal/>
    </border>
    <border>
      <left/>
      <right/>
      <top style="thick">
        <color theme="7" tint="-0.24994659260841701"/>
      </top>
      <bottom style="thick">
        <color theme="7" tint="-0.24994659260841701"/>
      </bottom>
      <diagonal/>
    </border>
    <border>
      <left/>
      <right/>
      <top/>
      <bottom style="thick">
        <color theme="9" tint="-0.24994659260841701"/>
      </bottom>
      <diagonal/>
    </border>
    <border>
      <left/>
      <right/>
      <top style="thick">
        <color theme="5" tint="-0.24994659260841701"/>
      </top>
      <bottom/>
      <diagonal/>
    </border>
    <border>
      <left/>
      <right/>
      <top/>
      <bottom style="thick">
        <color theme="5" tint="-0.24994659260841701"/>
      </bottom>
      <diagonal/>
    </border>
    <border>
      <left/>
      <right/>
      <top style="thick">
        <color theme="4" tint="-0.499984740745262"/>
      </top>
      <bottom/>
      <diagonal/>
    </border>
    <border>
      <left/>
      <right/>
      <top/>
      <bottom style="thick">
        <color theme="4" tint="-0.499984740745262"/>
      </bottom>
      <diagonal/>
    </border>
    <border>
      <left/>
      <right/>
      <top style="thick">
        <color theme="5" tint="-0.24994659260841701"/>
      </top>
      <bottom style="thick">
        <color theme="5" tint="-0.24994659260841701"/>
      </bottom>
      <diagonal/>
    </border>
    <border>
      <left/>
      <right/>
      <top style="thick">
        <color theme="4" tint="-0.499984740745262"/>
      </top>
      <bottom style="thick">
        <color theme="4" tint="-0.499984740745262"/>
      </bottom>
      <diagonal/>
    </border>
    <border>
      <left/>
      <right/>
      <top style="thick">
        <color rgb="FFC00000"/>
      </top>
      <bottom style="thick">
        <color rgb="FFC00000"/>
      </bottom>
      <diagonal/>
    </border>
    <border>
      <left/>
      <right/>
      <top style="thick">
        <color rgb="FFC00000"/>
      </top>
      <bottom/>
      <diagonal/>
    </border>
    <border>
      <left/>
      <right/>
      <top style="thick">
        <color theme="9" tint="0.39994506668294322"/>
      </top>
      <bottom style="thick">
        <color theme="9" tint="0.39994506668294322"/>
      </bottom>
      <diagonal/>
    </border>
    <border>
      <left/>
      <right/>
      <top style="thick">
        <color theme="9" tint="0.39994506668294322"/>
      </top>
      <bottom/>
      <diagonal/>
    </border>
    <border>
      <left/>
      <right/>
      <top/>
      <bottom style="thick">
        <color theme="9" tint="0.3998840296639912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thick">
        <color theme="8"/>
      </top>
      <bottom/>
      <diagonal/>
    </border>
    <border>
      <left/>
      <right/>
      <top/>
      <bottom style="thick">
        <color theme="8"/>
      </bottom>
      <diagonal/>
    </border>
    <border>
      <left/>
      <right/>
      <top style="thick">
        <color theme="8"/>
      </top>
      <bottom style="thick">
        <color theme="8"/>
      </bottom>
      <diagonal/>
    </border>
    <border>
      <left/>
      <right/>
      <top style="thick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 style="thick">
        <color theme="4" tint="0.79998168889431442"/>
      </left>
      <right/>
      <top style="thick">
        <color theme="4" tint="0.79998168889431442"/>
      </top>
      <bottom/>
      <diagonal/>
    </border>
    <border>
      <left/>
      <right style="thick">
        <color theme="4" tint="0.79998168889431442"/>
      </right>
      <top style="thick">
        <color theme="4" tint="0.79998168889431442"/>
      </top>
      <bottom/>
      <diagonal/>
    </border>
    <border>
      <left style="thick">
        <color theme="4" tint="0.79998168889431442"/>
      </left>
      <right/>
      <top/>
      <bottom style="thick">
        <color theme="4" tint="0.79998168889431442"/>
      </bottom>
      <diagonal/>
    </border>
    <border>
      <left/>
      <right style="thick">
        <color theme="4" tint="0.79998168889431442"/>
      </right>
      <top/>
      <bottom style="thick">
        <color theme="4" tint="0.79998168889431442"/>
      </bottom>
      <diagonal/>
    </border>
    <border>
      <left/>
      <right/>
      <top/>
      <bottom style="thick">
        <color theme="9" tint="0.39991454817346722"/>
      </bottom>
      <diagonal/>
    </border>
    <border>
      <left/>
      <right/>
      <top style="thick">
        <color theme="9" tint="0.39988402966399123"/>
      </top>
      <bottom/>
      <diagonal/>
    </border>
    <border>
      <left style="thick">
        <color theme="7"/>
      </left>
      <right/>
      <top style="thick">
        <color theme="7"/>
      </top>
      <bottom/>
      <diagonal/>
    </border>
    <border>
      <left/>
      <right style="thick">
        <color theme="7"/>
      </right>
      <top style="thick">
        <color theme="7"/>
      </top>
      <bottom/>
      <diagonal/>
    </border>
    <border>
      <left style="thick">
        <color theme="7"/>
      </left>
      <right/>
      <top/>
      <bottom/>
      <diagonal/>
    </border>
    <border>
      <left/>
      <right style="thick">
        <color theme="7"/>
      </right>
      <top/>
      <bottom/>
      <diagonal/>
    </border>
    <border>
      <left style="thick">
        <color theme="7"/>
      </left>
      <right/>
      <top/>
      <bottom style="thick">
        <color theme="7"/>
      </bottom>
      <diagonal/>
    </border>
    <border>
      <left/>
      <right style="thick">
        <color theme="7"/>
      </right>
      <top/>
      <bottom style="thick">
        <color theme="7"/>
      </bottom>
      <diagonal/>
    </border>
    <border>
      <left style="thin">
        <color theme="8"/>
      </left>
      <right/>
      <top style="thick">
        <color theme="8"/>
      </top>
      <bottom style="thin">
        <color theme="8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 style="thin">
        <color theme="8"/>
      </left>
      <right/>
      <top style="thin">
        <color theme="8"/>
      </top>
      <bottom style="thick">
        <color theme="8"/>
      </bottom>
      <diagonal/>
    </border>
    <border>
      <left style="thin">
        <color theme="8"/>
      </left>
      <right/>
      <top style="thick">
        <color theme="8"/>
      </top>
      <bottom/>
      <diagonal/>
    </border>
    <border>
      <left style="thin">
        <color theme="8"/>
      </left>
      <right/>
      <top/>
      <bottom style="thick">
        <color theme="8"/>
      </bottom>
      <diagonal/>
    </border>
    <border>
      <left/>
      <right style="thick">
        <color theme="1"/>
      </right>
      <top style="thick">
        <color theme="8"/>
      </top>
      <bottom style="thick">
        <color theme="8"/>
      </bottom>
      <diagonal/>
    </border>
    <border>
      <left/>
      <right style="thick">
        <color theme="1"/>
      </right>
      <top style="thick">
        <color theme="8"/>
      </top>
      <bottom style="thin">
        <color theme="8"/>
      </bottom>
      <diagonal/>
    </border>
    <border>
      <left/>
      <right style="thick">
        <color theme="1"/>
      </right>
      <top style="thin">
        <color theme="8"/>
      </top>
      <bottom style="thin">
        <color theme="8"/>
      </bottom>
      <diagonal/>
    </border>
    <border>
      <left/>
      <right style="thick">
        <color theme="1"/>
      </right>
      <top style="thin">
        <color theme="8"/>
      </top>
      <bottom style="thick">
        <color theme="8"/>
      </bottom>
      <diagonal/>
    </border>
    <border>
      <left/>
      <right style="thick">
        <color theme="1"/>
      </right>
      <top style="thick">
        <color theme="8"/>
      </top>
      <bottom/>
      <diagonal/>
    </border>
    <border>
      <left/>
      <right style="thick">
        <color theme="1"/>
      </right>
      <top/>
      <bottom style="thick">
        <color theme="8"/>
      </bottom>
      <diagonal/>
    </border>
    <border>
      <left/>
      <right style="thick">
        <color theme="1"/>
      </right>
      <top/>
      <bottom/>
      <diagonal/>
    </border>
    <border>
      <left/>
      <right style="thick">
        <color theme="1"/>
      </right>
      <top/>
      <bottom style="thick">
        <color indexed="64"/>
      </bottom>
      <diagonal/>
    </border>
    <border>
      <left style="thick">
        <color theme="1"/>
      </left>
      <right/>
      <top style="thick">
        <color theme="8"/>
      </top>
      <bottom style="thick">
        <color theme="8"/>
      </bottom>
      <diagonal/>
    </border>
    <border>
      <left style="thick">
        <color theme="1"/>
      </left>
      <right/>
      <top style="thick">
        <color theme="8"/>
      </top>
      <bottom style="thin">
        <color theme="8"/>
      </bottom>
      <diagonal/>
    </border>
    <border>
      <left style="thick">
        <color theme="1"/>
      </left>
      <right/>
      <top style="thin">
        <color theme="8"/>
      </top>
      <bottom style="thin">
        <color theme="8"/>
      </bottom>
      <diagonal/>
    </border>
    <border>
      <left style="thick">
        <color theme="1"/>
      </left>
      <right/>
      <top/>
      <bottom/>
      <diagonal/>
    </border>
    <border>
      <left style="thick">
        <color theme="1"/>
      </left>
      <right/>
      <top/>
      <bottom style="thick">
        <color theme="8"/>
      </bottom>
      <diagonal/>
    </border>
    <border>
      <left style="thick">
        <color theme="1"/>
      </left>
      <right/>
      <top style="thick">
        <color theme="8"/>
      </top>
      <bottom/>
      <diagonal/>
    </border>
    <border>
      <left style="thick">
        <color theme="1"/>
      </left>
      <right/>
      <top/>
      <bottom style="thick">
        <color indexed="64"/>
      </bottom>
      <diagonal/>
    </border>
    <border>
      <left style="thick">
        <color theme="9" tint="0.39985351115451523"/>
      </left>
      <right/>
      <top style="thick">
        <color theme="9" tint="0.39988402966399123"/>
      </top>
      <bottom/>
      <diagonal/>
    </border>
    <border>
      <left/>
      <right style="thick">
        <color theme="9" tint="0.39985351115451523"/>
      </right>
      <top style="thick">
        <color theme="9" tint="0.39988402966399123"/>
      </top>
      <bottom/>
      <diagonal/>
    </border>
    <border>
      <left style="thick">
        <color theme="9" tint="0.39985351115451523"/>
      </left>
      <right/>
      <top/>
      <bottom/>
      <diagonal/>
    </border>
    <border>
      <left/>
      <right style="thick">
        <color theme="9" tint="0.39985351115451523"/>
      </right>
      <top/>
      <bottom/>
      <diagonal/>
    </border>
    <border>
      <left style="thick">
        <color theme="9" tint="0.39985351115451523"/>
      </left>
      <right/>
      <top/>
      <bottom style="thick">
        <color theme="9" tint="0.39991454817346722"/>
      </bottom>
      <diagonal/>
    </border>
    <border>
      <left/>
      <right style="thick">
        <color theme="9" tint="0.39985351115451523"/>
      </right>
      <top/>
      <bottom style="thick">
        <color theme="9" tint="0.39991454817346722"/>
      </bottom>
      <diagonal/>
    </border>
    <border>
      <left style="thick">
        <color theme="9" tint="0.39991454817346722"/>
      </left>
      <right/>
      <top style="thick">
        <color theme="9" tint="0.39994506668294322"/>
      </top>
      <bottom/>
      <diagonal/>
    </border>
    <border>
      <left/>
      <right style="thick">
        <color theme="9" tint="0.39991454817346722"/>
      </right>
      <top style="thick">
        <color theme="9" tint="0.39994506668294322"/>
      </top>
      <bottom/>
      <diagonal/>
    </border>
    <border>
      <left style="thick">
        <color theme="9" tint="0.39991454817346722"/>
      </left>
      <right/>
      <top/>
      <bottom style="thick">
        <color theme="9" tint="0.39988402966399123"/>
      </bottom>
      <diagonal/>
    </border>
    <border>
      <left/>
      <right style="thick">
        <color theme="9" tint="0.39991454817346722"/>
      </right>
      <top/>
      <bottom style="thick">
        <color theme="9" tint="0.39988402966399123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 style="thick">
        <color theme="4" tint="-0.499984740745262"/>
      </bottom>
      <diagonal/>
    </border>
    <border>
      <left/>
      <right style="thick">
        <color theme="4" tint="-0.499984740745262"/>
      </right>
      <top style="thick">
        <color theme="4" tint="-0.499984740745262"/>
      </top>
      <bottom style="thick">
        <color theme="4" tint="-0.499984740745262"/>
      </bottom>
      <diagonal/>
    </border>
    <border>
      <left style="thick">
        <color rgb="FFC00000"/>
      </left>
      <right/>
      <top style="thick">
        <color rgb="FFC00000"/>
      </top>
      <bottom style="thick">
        <color rgb="FFC00000"/>
      </bottom>
      <diagonal/>
    </border>
    <border>
      <left/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thick">
        <color rgb="FFC00000"/>
      </left>
      <right/>
      <top style="thick">
        <color rgb="FFC00000"/>
      </top>
      <bottom/>
      <diagonal/>
    </border>
    <border>
      <left/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/>
      <top/>
      <bottom/>
      <diagonal/>
    </border>
    <border>
      <left/>
      <right style="thick">
        <color rgb="FFC00000"/>
      </right>
      <top/>
      <bottom/>
      <diagonal/>
    </border>
    <border>
      <left style="thin">
        <color indexed="64"/>
      </left>
      <right/>
      <top/>
      <bottom/>
      <diagonal/>
    </border>
    <border>
      <left style="thick">
        <color theme="0"/>
      </left>
      <right/>
      <top/>
      <bottom style="thick">
        <color theme="7" tint="-0.24994659260841701"/>
      </bottom>
      <diagonal/>
    </border>
    <border>
      <left style="medium">
        <color theme="0"/>
      </left>
      <right/>
      <top/>
      <bottom style="thick">
        <color theme="9" tint="-0.24994659260841701"/>
      </bottom>
      <diagonal/>
    </border>
    <border>
      <left/>
      <right/>
      <top style="thick">
        <color theme="9" tint="-0.499984740745262"/>
      </top>
      <bottom style="thick">
        <color theme="9" tint="-0.499984740745262"/>
      </bottom>
      <diagonal/>
    </border>
    <border>
      <left style="medium">
        <color theme="7"/>
      </left>
      <right/>
      <top style="medium">
        <color theme="7"/>
      </top>
      <bottom/>
      <diagonal/>
    </border>
    <border>
      <left/>
      <right style="medium">
        <color theme="7"/>
      </right>
      <top style="medium">
        <color theme="7"/>
      </top>
      <bottom/>
      <diagonal/>
    </border>
    <border>
      <left style="medium">
        <color theme="7"/>
      </left>
      <right/>
      <top/>
      <bottom style="medium">
        <color theme="7"/>
      </bottom>
      <diagonal/>
    </border>
    <border>
      <left/>
      <right style="medium">
        <color theme="7"/>
      </right>
      <top/>
      <bottom style="medium">
        <color theme="7"/>
      </bottom>
      <diagonal/>
    </border>
    <border>
      <left/>
      <right/>
      <top style="thick">
        <color theme="9" tint="-0.49998474074526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94">
    <xf numFmtId="0" fontId="0" fillId="0" borderId="0" xfId="0"/>
    <xf numFmtId="0" fontId="2" fillId="2" borderId="1" xfId="0" applyFont="1" applyFill="1" applyBorder="1"/>
    <xf numFmtId="0" fontId="3" fillId="0" borderId="1" xfId="0" applyFont="1" applyBorder="1"/>
    <xf numFmtId="2" fontId="3" fillId="0" borderId="1" xfId="0" applyNumberFormat="1" applyFont="1" applyBorder="1"/>
    <xf numFmtId="9" fontId="3" fillId="0" borderId="1" xfId="1" applyFont="1" applyBorder="1"/>
    <xf numFmtId="0" fontId="3" fillId="2" borderId="1" xfId="0" applyFont="1" applyFill="1" applyBorder="1"/>
    <xf numFmtId="2" fontId="2" fillId="0" borderId="1" xfId="0" applyNumberFormat="1" applyFont="1" applyBorder="1"/>
    <xf numFmtId="166" fontId="3" fillId="0" borderId="1" xfId="0" applyNumberFormat="1" applyFont="1" applyBorder="1"/>
    <xf numFmtId="167" fontId="3" fillId="0" borderId="1" xfId="0" applyNumberFormat="1" applyFont="1" applyBorder="1"/>
    <xf numFmtId="0" fontId="5" fillId="0" borderId="2" xfId="0" applyFont="1" applyBorder="1" applyAlignment="1">
      <alignment horizontal="center"/>
    </xf>
    <xf numFmtId="0" fontId="5" fillId="0" borderId="0" xfId="0" applyFont="1" applyAlignment="1">
      <alignment horizontal="center" wrapText="1"/>
    </xf>
    <xf numFmtId="1" fontId="4" fillId="0" borderId="0" xfId="0" applyNumberFormat="1" applyFont="1" applyAlignment="1">
      <alignment horizontal="center" wrapText="1"/>
    </xf>
    <xf numFmtId="168" fontId="3" fillId="0" borderId="1" xfId="0" applyNumberFormat="1" applyFont="1" applyBorder="1"/>
    <xf numFmtId="0" fontId="7" fillId="0" borderId="0" xfId="0" applyFont="1"/>
    <xf numFmtId="1" fontId="4" fillId="0" borderId="0" xfId="0" applyNumberFormat="1" applyFont="1" applyAlignment="1">
      <alignment horizontal="center" vertical="center"/>
    </xf>
    <xf numFmtId="0" fontId="0" fillId="7" borderId="0" xfId="0" applyFill="1"/>
    <xf numFmtId="0" fontId="0" fillId="7" borderId="6" xfId="0" applyFill="1" applyBorder="1"/>
    <xf numFmtId="171" fontId="3" fillId="0" borderId="1" xfId="0" applyNumberFormat="1" applyFont="1" applyBorder="1"/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horizontal="center" vertical="top" wrapText="1"/>
    </xf>
    <xf numFmtId="0" fontId="12" fillId="0" borderId="0" xfId="0" applyFont="1" applyAlignment="1">
      <alignment horizontal="left"/>
    </xf>
    <xf numFmtId="172" fontId="12" fillId="0" borderId="0" xfId="0" applyNumberFormat="1" applyFont="1" applyAlignment="1">
      <alignment horizontal="center"/>
    </xf>
    <xf numFmtId="0" fontId="7" fillId="6" borderId="0" xfId="0" applyFont="1" applyFill="1"/>
    <xf numFmtId="0" fontId="0" fillId="8" borderId="0" xfId="0" applyFill="1"/>
    <xf numFmtId="0" fontId="7" fillId="8" borderId="0" xfId="0" applyFont="1" applyFill="1"/>
    <xf numFmtId="0" fontId="6" fillId="6" borderId="0" xfId="0" applyFont="1" applyFill="1" applyAlignment="1">
      <alignment horizontal="center" wrapText="1"/>
    </xf>
    <xf numFmtId="174" fontId="9" fillId="12" borderId="0" xfId="0" applyNumberFormat="1" applyFont="1" applyFill="1" applyAlignment="1">
      <alignment horizontal="center" vertical="center" wrapText="1"/>
    </xf>
    <xf numFmtId="0" fontId="0" fillId="12" borderId="0" xfId="0" applyFill="1"/>
    <xf numFmtId="0" fontId="5" fillId="6" borderId="0" xfId="0" applyFont="1" applyFill="1" applyAlignment="1">
      <alignment horizontal="center" vertical="top"/>
    </xf>
    <xf numFmtId="0" fontId="4" fillId="10" borderId="0" xfId="0" applyFont="1" applyFill="1" applyAlignment="1">
      <alignment horizontal="center"/>
    </xf>
    <xf numFmtId="178" fontId="3" fillId="0" borderId="1" xfId="0" applyNumberFormat="1" applyFont="1" applyBorder="1"/>
    <xf numFmtId="179" fontId="3" fillId="0" borderId="1" xfId="0" applyNumberFormat="1" applyFont="1" applyBorder="1"/>
    <xf numFmtId="180" fontId="3" fillId="0" borderId="1" xfId="0" applyNumberFormat="1" applyFont="1" applyBorder="1"/>
    <xf numFmtId="44" fontId="3" fillId="0" borderId="1" xfId="3" applyFont="1" applyBorder="1"/>
    <xf numFmtId="181" fontId="3" fillId="0" borderId="1" xfId="3" applyNumberFormat="1" applyFont="1" applyBorder="1"/>
    <xf numFmtId="182" fontId="3" fillId="0" borderId="0" xfId="2" applyNumberFormat="1" applyFont="1" applyFill="1" applyBorder="1"/>
    <xf numFmtId="173" fontId="3" fillId="0" borderId="1" xfId="0" applyNumberFormat="1" applyFont="1" applyBorder="1"/>
    <xf numFmtId="183" fontId="3" fillId="0" borderId="1" xfId="0" applyNumberFormat="1" applyFont="1" applyBorder="1"/>
    <xf numFmtId="166" fontId="3" fillId="0" borderId="1" xfId="3" applyNumberFormat="1" applyFont="1" applyFill="1" applyBorder="1"/>
    <xf numFmtId="44" fontId="3" fillId="0" borderId="1" xfId="3" applyFont="1" applyFill="1" applyBorder="1"/>
    <xf numFmtId="12" fontId="0" fillId="0" borderId="0" xfId="0" applyNumberFormat="1"/>
    <xf numFmtId="12" fontId="3" fillId="0" borderId="1" xfId="3" applyNumberFormat="1" applyFont="1" applyFill="1" applyBorder="1"/>
    <xf numFmtId="184" fontId="3" fillId="0" borderId="1" xfId="0" applyNumberFormat="1" applyFont="1" applyBorder="1"/>
    <xf numFmtId="185" fontId="3" fillId="0" borderId="1" xfId="0" applyNumberFormat="1" applyFont="1" applyBorder="1"/>
    <xf numFmtId="0" fontId="15" fillId="0" borderId="0" xfId="0" applyFont="1"/>
    <xf numFmtId="0" fontId="16" fillId="0" borderId="0" xfId="0" applyFont="1"/>
    <xf numFmtId="0" fontId="17" fillId="2" borderId="1" xfId="0" applyFont="1" applyFill="1" applyBorder="1"/>
    <xf numFmtId="0" fontId="16" fillId="0" borderId="1" xfId="0" applyFont="1" applyBorder="1" applyAlignment="1">
      <alignment vertical="top"/>
    </xf>
    <xf numFmtId="0" fontId="18" fillId="0" borderId="0" xfId="0" applyFont="1"/>
    <xf numFmtId="0" fontId="17" fillId="2" borderId="1" xfId="0" applyFont="1" applyFill="1" applyBorder="1" applyAlignment="1">
      <alignment vertical="top"/>
    </xf>
    <xf numFmtId="0" fontId="16" fillId="0" borderId="1" xfId="0" applyFont="1" applyBorder="1" applyAlignment="1">
      <alignment vertical="top" wrapText="1"/>
    </xf>
    <xf numFmtId="0" fontId="17" fillId="0" borderId="1" xfId="0" applyFont="1" applyBorder="1" applyAlignment="1">
      <alignment vertical="top" wrapText="1"/>
    </xf>
    <xf numFmtId="0" fontId="16" fillId="2" borderId="1" xfId="0" applyFont="1" applyFill="1" applyBorder="1"/>
    <xf numFmtId="0" fontId="16" fillId="0" borderId="1" xfId="0" applyFont="1" applyBorder="1"/>
    <xf numFmtId="0" fontId="17" fillId="0" borderId="1" xfId="0" applyFont="1" applyBorder="1"/>
    <xf numFmtId="44" fontId="16" fillId="0" borderId="1" xfId="3" applyFont="1" applyBorder="1" applyAlignment="1">
      <alignment horizontal="right" vertical="top"/>
    </xf>
    <xf numFmtId="44" fontId="16" fillId="0" borderId="1" xfId="3" applyFont="1" applyBorder="1"/>
    <xf numFmtId="44" fontId="17" fillId="0" borderId="1" xfId="0" applyNumberFormat="1" applyFont="1" applyBorder="1"/>
    <xf numFmtId="44" fontId="16" fillId="0" borderId="1" xfId="0" applyNumberFormat="1" applyFont="1" applyBorder="1"/>
    <xf numFmtId="4" fontId="16" fillId="0" borderId="1" xfId="0" applyNumberFormat="1" applyFont="1" applyBorder="1" applyAlignment="1">
      <alignment horizontal="right" vertical="top"/>
    </xf>
    <xf numFmtId="44" fontId="17" fillId="0" borderId="1" xfId="3" applyFont="1" applyBorder="1" applyAlignment="1">
      <alignment horizontal="right" vertical="top"/>
    </xf>
    <xf numFmtId="44" fontId="16" fillId="0" borderId="1" xfId="3" applyFont="1" applyFill="1" applyBorder="1" applyAlignment="1">
      <alignment horizontal="right" vertical="top"/>
    </xf>
    <xf numFmtId="0" fontId="19" fillId="0" borderId="0" xfId="0" applyFont="1"/>
    <xf numFmtId="0" fontId="3" fillId="0" borderId="0" xfId="0" applyFont="1"/>
    <xf numFmtId="9" fontId="3" fillId="0" borderId="0" xfId="1" applyFont="1" applyFill="1" applyBorder="1"/>
    <xf numFmtId="0" fontId="0" fillId="0" borderId="1" xfId="0" applyBorder="1"/>
    <xf numFmtId="9" fontId="3" fillId="0" borderId="1" xfId="1" applyFont="1" applyFill="1" applyBorder="1"/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" fillId="14" borderId="1" xfId="0" applyFont="1" applyFill="1" applyBorder="1"/>
    <xf numFmtId="0" fontId="0" fillId="14" borderId="1" xfId="0" applyFill="1" applyBorder="1"/>
    <xf numFmtId="0" fontId="19" fillId="0" borderId="1" xfId="0" applyFont="1" applyBorder="1"/>
    <xf numFmtId="165" fontId="3" fillId="0" borderId="0" xfId="0" applyNumberFormat="1" applyFont="1"/>
    <xf numFmtId="0" fontId="2" fillId="0" borderId="0" xfId="0" applyFont="1"/>
    <xf numFmtId="170" fontId="3" fillId="0" borderId="0" xfId="0" applyNumberFormat="1" applyFont="1"/>
    <xf numFmtId="171" fontId="3" fillId="0" borderId="0" xfId="0" applyNumberFormat="1" applyFont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" fontId="9" fillId="12" borderId="0" xfId="0" applyNumberFormat="1" applyFont="1" applyFill="1"/>
    <xf numFmtId="0" fontId="5" fillId="12" borderId="0" xfId="0" applyFont="1" applyFill="1"/>
    <xf numFmtId="0" fontId="9" fillId="15" borderId="15" xfId="0" applyFont="1" applyFill="1" applyBorder="1" applyAlignment="1">
      <alignment vertical="center"/>
    </xf>
    <xf numFmtId="0" fontId="19" fillId="0" borderId="1" xfId="0" applyFont="1" applyBorder="1" applyAlignment="1">
      <alignment horizontal="center"/>
    </xf>
    <xf numFmtId="2" fontId="9" fillId="12" borderId="0" xfId="0" applyNumberFormat="1" applyFont="1" applyFill="1" applyAlignment="1">
      <alignment horizontal="center" vertical="center" wrapText="1"/>
    </xf>
    <xf numFmtId="0" fontId="23" fillId="16" borderId="0" xfId="0" applyFont="1" applyFill="1"/>
    <xf numFmtId="0" fontId="7" fillId="16" borderId="0" xfId="0" applyFont="1" applyFill="1"/>
    <xf numFmtId="1" fontId="0" fillId="0" borderId="0" xfId="0" applyNumberFormat="1"/>
    <xf numFmtId="1" fontId="2" fillId="0" borderId="1" xfId="0" applyNumberFormat="1" applyFont="1" applyBorder="1"/>
    <xf numFmtId="1" fontId="0" fillId="0" borderId="1" xfId="0" applyNumberFormat="1" applyBorder="1"/>
    <xf numFmtId="0" fontId="3" fillId="2" borderId="18" xfId="0" applyFont="1" applyFill="1" applyBorder="1"/>
    <xf numFmtId="0" fontId="0" fillId="0" borderId="18" xfId="0" applyBorder="1"/>
    <xf numFmtId="0" fontId="7" fillId="10" borderId="25" xfId="0" applyFont="1" applyFill="1" applyBorder="1"/>
    <xf numFmtId="0" fontId="14" fillId="10" borderId="25" xfId="0" applyFont="1" applyFill="1" applyBorder="1" applyAlignment="1">
      <alignment horizontal="center"/>
    </xf>
    <xf numFmtId="0" fontId="5" fillId="10" borderId="0" xfId="0" applyFont="1" applyFill="1" applyAlignment="1">
      <alignment horizontal="center"/>
    </xf>
    <xf numFmtId="0" fontId="5" fillId="10" borderId="28" xfId="0" applyFont="1" applyFill="1" applyBorder="1" applyAlignment="1">
      <alignment horizontal="center" vertical="center"/>
    </xf>
    <xf numFmtId="0" fontId="0" fillId="19" borderId="0" xfId="0" applyFill="1"/>
    <xf numFmtId="0" fontId="25" fillId="19" borderId="0" xfId="4" applyFill="1"/>
    <xf numFmtId="0" fontId="27" fillId="17" borderId="8" xfId="4" quotePrefix="1" applyFont="1" applyFill="1" applyBorder="1" applyAlignment="1">
      <alignment vertical="center" wrapText="1"/>
    </xf>
    <xf numFmtId="2" fontId="0" fillId="0" borderId="1" xfId="0" applyNumberFormat="1" applyBorder="1"/>
    <xf numFmtId="0" fontId="0" fillId="21" borderId="0" xfId="0" applyFill="1"/>
    <xf numFmtId="0" fontId="0" fillId="0" borderId="17" xfId="0" applyBorder="1"/>
    <xf numFmtId="2" fontId="0" fillId="0" borderId="0" xfId="0" applyNumberFormat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23" borderId="1" xfId="0" applyFill="1" applyBorder="1"/>
    <xf numFmtId="2" fontId="0" fillId="23" borderId="1" xfId="0" applyNumberFormat="1" applyFill="1" applyBorder="1"/>
    <xf numFmtId="1" fontId="0" fillId="23" borderId="1" xfId="0" applyNumberFormat="1" applyFill="1" applyBorder="1"/>
    <xf numFmtId="0" fontId="0" fillId="22" borderId="1" xfId="0" applyFill="1" applyBorder="1"/>
    <xf numFmtId="1" fontId="0" fillId="22" borderId="1" xfId="0" applyNumberFormat="1" applyFill="1" applyBorder="1"/>
    <xf numFmtId="0" fontId="0" fillId="22" borderId="17" xfId="0" applyFill="1" applyBorder="1"/>
    <xf numFmtId="20" fontId="0" fillId="0" borderId="0" xfId="0" applyNumberFormat="1"/>
    <xf numFmtId="0" fontId="0" fillId="4" borderId="0" xfId="0" applyFill="1"/>
    <xf numFmtId="0" fontId="7" fillId="18" borderId="0" xfId="0" applyFont="1" applyFill="1"/>
    <xf numFmtId="0" fontId="5" fillId="18" borderId="0" xfId="0" applyFont="1" applyFill="1" applyAlignment="1">
      <alignment vertical="center"/>
    </xf>
    <xf numFmtId="0" fontId="0" fillId="18" borderId="0" xfId="0" applyFill="1"/>
    <xf numFmtId="0" fontId="0" fillId="0" borderId="0" xfId="0" applyAlignment="1">
      <alignment wrapText="1"/>
    </xf>
    <xf numFmtId="12" fontId="0" fillId="0" borderId="0" xfId="0" applyNumberFormat="1" applyAlignment="1">
      <alignment wrapText="1"/>
    </xf>
    <xf numFmtId="179" fontId="0" fillId="0" borderId="0" xfId="0" applyNumberFormat="1"/>
    <xf numFmtId="184" fontId="0" fillId="0" borderId="0" xfId="0" applyNumberFormat="1"/>
    <xf numFmtId="0" fontId="0" fillId="18" borderId="20" xfId="0" applyFill="1" applyBorder="1"/>
    <xf numFmtId="177" fontId="9" fillId="12" borderId="36" xfId="0" applyNumberFormat="1" applyFont="1" applyFill="1" applyBorder="1" applyAlignment="1">
      <alignment horizontal="center" vertical="center"/>
    </xf>
    <xf numFmtId="0" fontId="7" fillId="12" borderId="36" xfId="0" applyFont="1" applyFill="1" applyBorder="1"/>
    <xf numFmtId="179" fontId="0" fillId="0" borderId="1" xfId="0" applyNumberFormat="1" applyBorder="1"/>
    <xf numFmtId="187" fontId="0" fillId="0" borderId="1" xfId="0" applyNumberFormat="1" applyBorder="1"/>
    <xf numFmtId="0" fontId="25" fillId="0" borderId="0" xfId="4"/>
    <xf numFmtId="0" fontId="16" fillId="0" borderId="0" xfId="0" applyFont="1" applyAlignment="1">
      <alignment vertical="top"/>
    </xf>
    <xf numFmtId="0" fontId="17" fillId="0" borderId="0" xfId="0" applyFont="1" applyAlignment="1">
      <alignment vertical="top" wrapText="1"/>
    </xf>
    <xf numFmtId="44" fontId="16" fillId="0" borderId="0" xfId="3" applyFont="1" applyBorder="1" applyAlignment="1">
      <alignment horizontal="right" vertical="top"/>
    </xf>
    <xf numFmtId="4" fontId="16" fillId="0" borderId="0" xfId="0" applyNumberFormat="1" applyFont="1" applyAlignment="1">
      <alignment horizontal="right" vertical="top"/>
    </xf>
    <xf numFmtId="44" fontId="17" fillId="0" borderId="0" xfId="3" applyFont="1" applyBorder="1" applyAlignment="1">
      <alignment horizontal="right" vertical="top"/>
    </xf>
    <xf numFmtId="0" fontId="2" fillId="2" borderId="1" xfId="0" applyFont="1" applyFill="1" applyBorder="1" applyAlignment="1">
      <alignment wrapText="1"/>
    </xf>
    <xf numFmtId="179" fontId="0" fillId="0" borderId="0" xfId="0" applyNumberFormat="1" applyAlignment="1">
      <alignment horizontal="center" vertical="center"/>
    </xf>
    <xf numFmtId="44" fontId="0" fillId="0" borderId="1" xfId="0" applyNumberFormat="1" applyBorder="1"/>
    <xf numFmtId="0" fontId="0" fillId="24" borderId="0" xfId="0" applyFill="1"/>
    <xf numFmtId="0" fontId="13" fillId="10" borderId="0" xfId="0" applyFont="1" applyFill="1" applyAlignment="1">
      <alignment horizontal="center" vertical="top"/>
    </xf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11" borderId="15" xfId="0" applyFill="1" applyBorder="1"/>
    <xf numFmtId="0" fontId="0" fillId="0" borderId="23" xfId="0" applyBorder="1"/>
    <xf numFmtId="0" fontId="0" fillId="11" borderId="0" xfId="0" applyFill="1"/>
    <xf numFmtId="0" fontId="0" fillId="6" borderId="0" xfId="0" applyFill="1"/>
    <xf numFmtId="169" fontId="0" fillId="0" borderId="0" xfId="0" applyNumberFormat="1"/>
    <xf numFmtId="0" fontId="5" fillId="12" borderId="0" xfId="0" applyFont="1" applyFill="1" applyAlignment="1">
      <alignment horizontal="center"/>
    </xf>
    <xf numFmtId="1" fontId="9" fillId="12" borderId="0" xfId="0" applyNumberFormat="1" applyFont="1" applyFill="1" applyAlignment="1">
      <alignment horizontal="center"/>
    </xf>
    <xf numFmtId="0" fontId="20" fillId="12" borderId="0" xfId="0" applyFont="1" applyFill="1" applyAlignment="1">
      <alignment horizontal="center" vertical="top"/>
    </xf>
    <xf numFmtId="0" fontId="8" fillId="0" borderId="3" xfId="0" applyFont="1" applyBorder="1"/>
    <xf numFmtId="0" fontId="0" fillId="11" borderId="36" xfId="0" applyFill="1" applyBorder="1"/>
    <xf numFmtId="0" fontId="5" fillId="0" borderId="0" xfId="0" applyFont="1" applyAlignment="1">
      <alignment horizontal="left" vertical="center"/>
    </xf>
    <xf numFmtId="169" fontId="4" fillId="0" borderId="0" xfId="0" applyNumberFormat="1" applyFont="1" applyAlignment="1">
      <alignment horizontal="center" vertical="center"/>
    </xf>
    <xf numFmtId="0" fontId="0" fillId="0" borderId="5" xfId="0" applyBorder="1"/>
    <xf numFmtId="0" fontId="0" fillId="0" borderId="24" xfId="0" applyBorder="1"/>
    <xf numFmtId="0" fontId="0" fillId="0" borderId="25" xfId="0" applyBorder="1"/>
    <xf numFmtId="0" fontId="7" fillId="0" borderId="25" xfId="0" applyFont="1" applyBorder="1"/>
    <xf numFmtId="0" fontId="5" fillId="0" borderId="25" xfId="0" applyFont="1" applyBorder="1" applyAlignment="1">
      <alignment vertical="center"/>
    </xf>
    <xf numFmtId="0" fontId="0" fillId="0" borderId="26" xfId="0" applyBorder="1"/>
    <xf numFmtId="0" fontId="5" fillId="10" borderId="44" xfId="0" applyFont="1" applyFill="1" applyBorder="1" applyAlignment="1">
      <alignment vertical="center" wrapText="1"/>
    </xf>
    <xf numFmtId="0" fontId="5" fillId="10" borderId="45" xfId="0" applyFont="1" applyFill="1" applyBorder="1" applyAlignment="1">
      <alignment vertical="center" wrapText="1"/>
    </xf>
    <xf numFmtId="0" fontId="5" fillId="10" borderId="46" xfId="0" applyFont="1" applyFill="1" applyBorder="1" applyAlignment="1">
      <alignment vertical="center" wrapText="1"/>
    </xf>
    <xf numFmtId="0" fontId="7" fillId="10" borderId="49" xfId="0" applyFont="1" applyFill="1" applyBorder="1"/>
    <xf numFmtId="0" fontId="7" fillId="10" borderId="55" xfId="0" applyFont="1" applyFill="1" applyBorder="1"/>
    <xf numFmtId="0" fontId="7" fillId="10" borderId="56" xfId="0" applyFont="1" applyFill="1" applyBorder="1"/>
    <xf numFmtId="0" fontId="7" fillId="10" borderId="57" xfId="0" applyFont="1" applyFill="1" applyBorder="1"/>
    <xf numFmtId="0" fontId="0" fillId="12" borderId="66" xfId="0" applyFill="1" applyBorder="1"/>
    <xf numFmtId="0" fontId="5" fillId="12" borderId="67" xfId="0" applyFont="1" applyFill="1" applyBorder="1" applyAlignment="1">
      <alignment horizontal="center"/>
    </xf>
    <xf numFmtId="0" fontId="5" fillId="12" borderId="66" xfId="0" applyFont="1" applyFill="1" applyBorder="1"/>
    <xf numFmtId="1" fontId="9" fillId="12" borderId="67" xfId="0" applyNumberFormat="1" applyFont="1" applyFill="1" applyBorder="1" applyAlignment="1">
      <alignment horizontal="center"/>
    </xf>
    <xf numFmtId="0" fontId="5" fillId="12" borderId="66" xfId="0" applyFont="1" applyFill="1" applyBorder="1" applyAlignment="1">
      <alignment vertical="center" wrapText="1"/>
    </xf>
    <xf numFmtId="0" fontId="20" fillId="12" borderId="67" xfId="0" applyFont="1" applyFill="1" applyBorder="1" applyAlignment="1">
      <alignment horizontal="center" vertical="top"/>
    </xf>
    <xf numFmtId="0" fontId="5" fillId="12" borderId="66" xfId="0" applyFont="1" applyFill="1" applyBorder="1" applyAlignment="1">
      <alignment horizontal="center" vertical="center"/>
    </xf>
    <xf numFmtId="0" fontId="5" fillId="12" borderId="66" xfId="0" applyFont="1" applyFill="1" applyBorder="1" applyAlignment="1">
      <alignment horizontal="center" vertical="center" wrapText="1"/>
    </xf>
    <xf numFmtId="0" fontId="5" fillId="12" borderId="68" xfId="0" applyFont="1" applyFill="1" applyBorder="1" applyAlignment="1">
      <alignment horizontal="center" vertical="center"/>
    </xf>
    <xf numFmtId="0" fontId="0" fillId="12" borderId="69" xfId="0" applyFill="1" applyBorder="1"/>
    <xf numFmtId="0" fontId="9" fillId="15" borderId="70" xfId="0" applyFont="1" applyFill="1" applyBorder="1" applyAlignment="1">
      <alignment vertical="center"/>
    </xf>
    <xf numFmtId="0" fontId="9" fillId="15" borderId="71" xfId="0" applyFont="1" applyFill="1" applyBorder="1" applyAlignment="1">
      <alignment vertical="center"/>
    </xf>
    <xf numFmtId="0" fontId="0" fillId="8" borderId="76" xfId="0" applyFill="1" applyBorder="1"/>
    <xf numFmtId="0" fontId="0" fillId="8" borderId="77" xfId="0" applyFill="1" applyBorder="1"/>
    <xf numFmtId="0" fontId="5" fillId="8" borderId="77" xfId="0" applyFont="1" applyFill="1" applyBorder="1" applyAlignment="1">
      <alignment vertical="center" wrapText="1"/>
    </xf>
    <xf numFmtId="0" fontId="7" fillId="6" borderId="86" xfId="0" applyFont="1" applyFill="1" applyBorder="1"/>
    <xf numFmtId="0" fontId="7" fillId="6" borderId="87" xfId="0" applyFont="1" applyFill="1" applyBorder="1"/>
    <xf numFmtId="0" fontId="6" fillId="6" borderId="0" xfId="0" applyFont="1" applyFill="1" applyAlignment="1">
      <alignment vertical="center" wrapText="1"/>
    </xf>
    <xf numFmtId="0" fontId="35" fillId="0" borderId="0" xfId="0" applyFont="1"/>
    <xf numFmtId="0" fontId="3" fillId="2" borderId="17" xfId="0" applyFont="1" applyFill="1" applyBorder="1" applyAlignment="1">
      <alignment horizontal="center" vertical="center" wrapText="1"/>
    </xf>
    <xf numFmtId="189" fontId="3" fillId="0" borderId="0" xfId="0" applyNumberFormat="1" applyFont="1"/>
    <xf numFmtId="0" fontId="8" fillId="0" borderId="89" xfId="0" applyFont="1" applyBorder="1"/>
    <xf numFmtId="0" fontId="3" fillId="0" borderId="17" xfId="0" applyFont="1" applyBorder="1"/>
    <xf numFmtId="0" fontId="0" fillId="25" borderId="2" xfId="0" applyFill="1" applyBorder="1"/>
    <xf numFmtId="187" fontId="0" fillId="0" borderId="0" xfId="0" applyNumberFormat="1"/>
    <xf numFmtId="0" fontId="10" fillId="0" borderId="90" xfId="0" applyFont="1" applyBorder="1"/>
    <xf numFmtId="0" fontId="5" fillId="0" borderId="0" xfId="0" applyFont="1" applyProtection="1">
      <protection locked="0"/>
    </xf>
    <xf numFmtId="168" fontId="8" fillId="0" borderId="3" xfId="0" applyNumberFormat="1" applyFont="1" applyBorder="1" applyProtection="1">
      <protection locked="0"/>
    </xf>
    <xf numFmtId="166" fontId="10" fillId="0" borderId="5" xfId="0" applyNumberFormat="1" applyFont="1" applyBorder="1" applyProtection="1">
      <protection locked="0"/>
    </xf>
    <xf numFmtId="0" fontId="36" fillId="0" borderId="0" xfId="0" applyFont="1"/>
    <xf numFmtId="174" fontId="9" fillId="0" borderId="0" xfId="0" applyNumberFormat="1" applyFont="1" applyAlignment="1">
      <alignment horizontal="center" vertical="center" wrapText="1"/>
    </xf>
    <xf numFmtId="10" fontId="0" fillId="0" borderId="0" xfId="0" applyNumberFormat="1"/>
    <xf numFmtId="0" fontId="37" fillId="26" borderId="0" xfId="0" applyFont="1" applyFill="1" applyAlignment="1" applyProtection="1">
      <alignment horizontal="center"/>
      <protection locked="0"/>
    </xf>
    <xf numFmtId="9" fontId="37" fillId="0" borderId="0" xfId="0" applyNumberFormat="1" applyFont="1" applyAlignment="1" applyProtection="1">
      <alignment horizontal="center"/>
      <protection locked="0"/>
    </xf>
    <xf numFmtId="166" fontId="38" fillId="0" borderId="0" xfId="0" applyNumberFormat="1" applyFont="1" applyAlignment="1" applyProtection="1">
      <alignment horizontal="center" vertical="center"/>
      <protection locked="0"/>
    </xf>
    <xf numFmtId="0" fontId="38" fillId="10" borderId="29" xfId="0" applyFont="1" applyFill="1" applyBorder="1" applyAlignment="1" applyProtection="1">
      <alignment horizontal="center" vertical="center"/>
      <protection locked="0"/>
    </xf>
    <xf numFmtId="0" fontId="38" fillId="10" borderId="31" xfId="0" applyFont="1" applyFill="1" applyBorder="1" applyAlignment="1" applyProtection="1">
      <alignment horizontal="center" vertical="center"/>
      <protection locked="0"/>
    </xf>
    <xf numFmtId="0" fontId="38" fillId="10" borderId="0" xfId="0" applyFont="1" applyFill="1" applyAlignment="1" applyProtection="1">
      <alignment horizontal="center" vertical="center"/>
      <protection locked="0"/>
    </xf>
    <xf numFmtId="0" fontId="38" fillId="10" borderId="28" xfId="0" applyFont="1" applyFill="1" applyBorder="1" applyAlignment="1" applyProtection="1">
      <alignment horizontal="center" vertical="center"/>
      <protection locked="0"/>
    </xf>
    <xf numFmtId="0" fontId="38" fillId="10" borderId="52" xfId="0" applyFont="1" applyFill="1" applyBorder="1" applyAlignment="1" applyProtection="1">
      <alignment horizontal="center" vertical="center"/>
      <protection locked="0"/>
    </xf>
    <xf numFmtId="0" fontId="38" fillId="10" borderId="51" xfId="0" applyFont="1" applyFill="1" applyBorder="1" applyAlignment="1" applyProtection="1">
      <alignment horizontal="center" vertical="top"/>
      <protection locked="0"/>
    </xf>
    <xf numFmtId="0" fontId="38" fillId="10" borderId="50" xfId="0" applyFont="1" applyFill="1" applyBorder="1" applyAlignment="1" applyProtection="1">
      <alignment horizontal="center" vertical="top"/>
      <protection locked="0"/>
    </xf>
    <xf numFmtId="0" fontId="5" fillId="0" borderId="0" xfId="0" applyFont="1" applyAlignment="1">
      <alignment horizontal="center"/>
    </xf>
    <xf numFmtId="0" fontId="39" fillId="0" borderId="0" xfId="0" applyFont="1" applyAlignment="1" applyProtection="1">
      <alignment horizontal="center" vertical="center"/>
      <protection locked="0"/>
    </xf>
    <xf numFmtId="0" fontId="0" fillId="5" borderId="0" xfId="0" applyFill="1"/>
    <xf numFmtId="0" fontId="3" fillId="5" borderId="0" xfId="0" applyFont="1" applyFill="1"/>
    <xf numFmtId="0" fontId="3" fillId="23" borderId="0" xfId="0" applyFont="1" applyFill="1"/>
    <xf numFmtId="0" fontId="3" fillId="0" borderId="1" xfId="0" applyFont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3" fillId="23" borderId="0" xfId="0" applyFont="1" applyFill="1" applyAlignment="1">
      <alignment horizontal="center" vertical="center"/>
    </xf>
    <xf numFmtId="0" fontId="0" fillId="5" borderId="0" xfId="0" applyFill="1" applyAlignment="1">
      <alignment horizontal="center"/>
    </xf>
    <xf numFmtId="0" fontId="38" fillId="5" borderId="0" xfId="0" applyFont="1" applyFill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2" fillId="23" borderId="0" xfId="0" applyFont="1" applyFill="1"/>
    <xf numFmtId="2" fontId="2" fillId="0" borderId="1" xfId="0" applyNumberFormat="1" applyFont="1" applyBorder="1" applyAlignment="1">
      <alignment horizontal="center" vertical="center"/>
    </xf>
    <xf numFmtId="2" fontId="0" fillId="22" borderId="1" xfId="0" applyNumberFormat="1" applyFill="1" applyBorder="1"/>
    <xf numFmtId="0" fontId="0" fillId="0" borderId="0" xfId="0" quotePrefix="1"/>
    <xf numFmtId="0" fontId="14" fillId="17" borderId="8" xfId="0" applyFont="1" applyFill="1" applyBorder="1" applyAlignment="1">
      <alignment vertical="center" wrapText="1"/>
    </xf>
    <xf numFmtId="2" fontId="3" fillId="0" borderId="1" xfId="0" applyNumberFormat="1" applyFont="1" applyBorder="1" applyAlignment="1" applyProtection="1">
      <alignment horizontal="center" vertical="center"/>
      <protection locked="0"/>
    </xf>
    <xf numFmtId="44" fontId="0" fillId="0" borderId="0" xfId="0" applyNumberFormat="1"/>
    <xf numFmtId="0" fontId="0" fillId="25" borderId="0" xfId="0" applyFill="1"/>
    <xf numFmtId="0" fontId="44" fillId="0" borderId="2" xfId="0" applyFont="1" applyBorder="1"/>
    <xf numFmtId="0" fontId="44" fillId="0" borderId="0" xfId="0" applyFont="1"/>
    <xf numFmtId="0" fontId="45" fillId="0" borderId="0" xfId="0" applyFont="1" applyAlignment="1">
      <alignment vertical="center" wrapText="1"/>
    </xf>
    <xf numFmtId="10" fontId="4" fillId="6" borderId="0" xfId="1" applyNumberFormat="1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left"/>
    </xf>
    <xf numFmtId="0" fontId="6" fillId="0" borderId="0" xfId="0" applyFont="1" applyAlignment="1">
      <alignment horizontal="left" vertical="center"/>
    </xf>
    <xf numFmtId="0" fontId="53" fillId="0" borderId="20" xfId="0" applyFont="1" applyBorder="1" applyAlignment="1">
      <alignment horizontal="right"/>
    </xf>
    <xf numFmtId="0" fontId="46" fillId="0" borderId="0" xfId="0" applyFont="1" applyAlignment="1">
      <alignment horizontal="left"/>
    </xf>
    <xf numFmtId="0" fontId="50" fillId="21" borderId="8" xfId="0" applyFont="1" applyFill="1" applyBorder="1" applyAlignment="1">
      <alignment horizontal="left"/>
    </xf>
    <xf numFmtId="0" fontId="46" fillId="0" borderId="8" xfId="0" applyFont="1" applyBorder="1" applyAlignment="1">
      <alignment horizontal="left"/>
    </xf>
    <xf numFmtId="0" fontId="48" fillId="0" borderId="0" xfId="0" applyFont="1" applyAlignment="1" applyProtection="1">
      <alignment horizontal="left" vertical="center" wrapText="1"/>
      <protection locked="0"/>
    </xf>
    <xf numFmtId="0" fontId="33" fillId="12" borderId="64" xfId="4" applyFont="1" applyFill="1" applyBorder="1" applyAlignment="1">
      <alignment horizontal="center"/>
    </xf>
    <xf numFmtId="0" fontId="33" fillId="12" borderId="37" xfId="4" applyFont="1" applyFill="1" applyBorder="1" applyAlignment="1">
      <alignment horizontal="center"/>
    </xf>
    <xf numFmtId="0" fontId="33" fillId="12" borderId="65" xfId="4" applyFont="1" applyFill="1" applyBorder="1" applyAlignment="1">
      <alignment horizontal="center"/>
    </xf>
    <xf numFmtId="0" fontId="11" fillId="19" borderId="29" xfId="0" applyFont="1" applyFill="1" applyBorder="1" applyAlignment="1">
      <alignment horizontal="center" vertical="center"/>
    </xf>
    <xf numFmtId="0" fontId="11" fillId="19" borderId="49" xfId="0" applyFont="1" applyFill="1" applyBorder="1" applyAlignment="1">
      <alignment horizontal="center" vertical="center"/>
    </xf>
    <xf numFmtId="0" fontId="5" fillId="10" borderId="59" xfId="0" applyFont="1" applyFill="1" applyBorder="1" applyAlignment="1">
      <alignment horizontal="left" vertical="center" wrapText="1"/>
    </xf>
    <xf numFmtId="0" fontId="5" fillId="10" borderId="31" xfId="0" applyFont="1" applyFill="1" applyBorder="1" applyAlignment="1">
      <alignment horizontal="left" vertical="center" wrapText="1"/>
    </xf>
    <xf numFmtId="0" fontId="11" fillId="19" borderId="57" xfId="0" applyFont="1" applyFill="1" applyBorder="1" applyAlignment="1">
      <alignment horizontal="center" vertical="center"/>
    </xf>
    <xf numFmtId="0" fontId="11" fillId="19" borderId="47" xfId="0" applyFont="1" applyFill="1" applyBorder="1" applyAlignment="1">
      <alignment horizontal="center" vertical="center"/>
    </xf>
    <xf numFmtId="0" fontId="11" fillId="19" borderId="53" xfId="0" applyFont="1" applyFill="1" applyBorder="1" applyAlignment="1">
      <alignment horizontal="center" vertical="center"/>
    </xf>
    <xf numFmtId="0" fontId="11" fillId="19" borderId="48" xfId="0" applyFont="1" applyFill="1" applyBorder="1" applyAlignment="1">
      <alignment horizontal="center" vertical="center"/>
    </xf>
    <xf numFmtId="0" fontId="11" fillId="19" borderId="54" xfId="0" applyFont="1" applyFill="1" applyBorder="1" applyAlignment="1">
      <alignment horizontal="center" vertical="center"/>
    </xf>
    <xf numFmtId="0" fontId="5" fillId="10" borderId="45" xfId="0" applyFont="1" applyFill="1" applyBorder="1" applyAlignment="1">
      <alignment horizontal="left" vertical="center" wrapText="1"/>
    </xf>
    <xf numFmtId="0" fontId="5" fillId="10" borderId="46" xfId="0" applyFont="1" applyFill="1" applyBorder="1" applyAlignment="1">
      <alignment horizontal="left" vertical="center" wrapText="1"/>
    </xf>
    <xf numFmtId="1" fontId="22" fillId="12" borderId="0" xfId="0" applyNumberFormat="1" applyFont="1" applyFill="1" applyAlignment="1">
      <alignment horizontal="center"/>
    </xf>
    <xf numFmtId="1" fontId="22" fillId="12" borderId="67" xfId="0" applyNumberFormat="1" applyFont="1" applyFill="1" applyBorder="1" applyAlignment="1">
      <alignment horizontal="center"/>
    </xf>
    <xf numFmtId="0" fontId="38" fillId="10" borderId="51" xfId="0" applyFont="1" applyFill="1" applyBorder="1" applyAlignment="1" applyProtection="1">
      <alignment horizontal="center" vertical="center"/>
      <protection locked="0"/>
    </xf>
    <xf numFmtId="0" fontId="38" fillId="10" borderId="52" xfId="0" applyFont="1" applyFill="1" applyBorder="1" applyAlignment="1" applyProtection="1">
      <alignment horizontal="center" vertical="center"/>
      <protection locked="0"/>
    </xf>
    <xf numFmtId="179" fontId="22" fillId="12" borderId="0" xfId="0" applyNumberFormat="1" applyFont="1" applyFill="1" applyAlignment="1">
      <alignment horizontal="center"/>
    </xf>
    <xf numFmtId="179" fontId="22" fillId="12" borderId="67" xfId="0" applyNumberFormat="1" applyFont="1" applyFill="1" applyBorder="1" applyAlignment="1">
      <alignment horizontal="center"/>
    </xf>
    <xf numFmtId="0" fontId="5" fillId="12" borderId="66" xfId="0" applyFont="1" applyFill="1" applyBorder="1" applyAlignment="1">
      <alignment horizontal="center" vertical="center" wrapText="1"/>
    </xf>
    <xf numFmtId="0" fontId="21" fillId="12" borderId="0" xfId="0" applyFont="1" applyFill="1" applyAlignment="1">
      <alignment horizontal="center" vertical="center" wrapText="1"/>
    </xf>
    <xf numFmtId="0" fontId="21" fillId="12" borderId="67" xfId="0" applyFont="1" applyFill="1" applyBorder="1" applyAlignment="1">
      <alignment horizontal="center" vertical="center" wrapText="1"/>
    </xf>
    <xf numFmtId="0" fontId="38" fillId="10" borderId="50" xfId="0" applyFont="1" applyFill="1" applyBorder="1" applyAlignment="1" applyProtection="1">
      <alignment horizontal="center" vertical="top"/>
      <protection locked="0"/>
    </xf>
    <xf numFmtId="0" fontId="38" fillId="10" borderId="51" xfId="0" applyFont="1" applyFill="1" applyBorder="1" applyAlignment="1" applyProtection="1">
      <alignment horizontal="center" vertical="top"/>
      <protection locked="0"/>
    </xf>
    <xf numFmtId="0" fontId="5" fillId="10" borderId="44" xfId="0" applyFont="1" applyFill="1" applyBorder="1" applyAlignment="1">
      <alignment vertical="center" wrapText="1"/>
    </xf>
    <xf numFmtId="0" fontId="5" fillId="10" borderId="45" xfId="0" applyFont="1" applyFill="1" applyBorder="1" applyAlignment="1">
      <alignment vertical="center" wrapText="1"/>
    </xf>
    <xf numFmtId="176" fontId="9" fillId="12" borderId="0" xfId="0" applyNumberFormat="1" applyFont="1" applyFill="1" applyAlignment="1">
      <alignment horizontal="center" vertical="center"/>
    </xf>
    <xf numFmtId="0" fontId="9" fillId="13" borderId="20" xfId="0" applyFont="1" applyFill="1" applyBorder="1" applyAlignment="1">
      <alignment horizontal="center"/>
    </xf>
    <xf numFmtId="0" fontId="9" fillId="21" borderId="0" xfId="0" applyFont="1" applyFill="1" applyAlignment="1">
      <alignment horizontal="center" vertical="center"/>
    </xf>
    <xf numFmtId="0" fontId="5" fillId="6" borderId="0" xfId="0" applyFont="1" applyFill="1" applyAlignment="1">
      <alignment horizontal="center"/>
    </xf>
    <xf numFmtId="0" fontId="31" fillId="6" borderId="0" xfId="0" applyFont="1" applyFill="1" applyAlignment="1">
      <alignment horizontal="center"/>
    </xf>
    <xf numFmtId="170" fontId="30" fillId="6" borderId="0" xfId="0" applyNumberFormat="1" applyFont="1" applyFill="1" applyAlignment="1">
      <alignment horizontal="center" vertical="center"/>
    </xf>
    <xf numFmtId="170" fontId="32" fillId="6" borderId="0" xfId="0" applyNumberFormat="1" applyFont="1" applyFill="1" applyAlignment="1">
      <alignment horizontal="center" vertical="center"/>
    </xf>
    <xf numFmtId="186" fontId="30" fillId="6" borderId="0" xfId="0" applyNumberFormat="1" applyFont="1" applyFill="1" applyAlignment="1">
      <alignment horizontal="center" vertical="center" wrapText="1"/>
    </xf>
    <xf numFmtId="0" fontId="31" fillId="6" borderId="0" xfId="0" applyFont="1" applyFill="1" applyAlignment="1">
      <alignment horizontal="center" wrapText="1"/>
    </xf>
    <xf numFmtId="0" fontId="51" fillId="5" borderId="80" xfId="0" applyFont="1" applyFill="1" applyBorder="1" applyAlignment="1">
      <alignment horizontal="center" vertical="center" wrapText="1"/>
    </xf>
    <xf numFmtId="0" fontId="51" fillId="5" borderId="11" xfId="0" applyFont="1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9" fillId="11" borderId="14" xfId="0" applyFont="1" applyFill="1" applyBorder="1" applyAlignment="1">
      <alignment horizontal="center"/>
    </xf>
    <xf numFmtId="0" fontId="40" fillId="15" borderId="72" xfId="0" applyFont="1" applyFill="1" applyBorder="1" applyAlignment="1" applyProtection="1">
      <alignment horizontal="center" vertical="center"/>
      <protection locked="0"/>
    </xf>
    <xf numFmtId="0" fontId="40" fillId="15" borderId="16" xfId="0" applyFont="1" applyFill="1" applyBorder="1" applyAlignment="1" applyProtection="1">
      <alignment horizontal="center" vertical="center"/>
      <protection locked="0"/>
    </xf>
    <xf numFmtId="0" fontId="40" fillId="15" borderId="73" xfId="0" applyFont="1" applyFill="1" applyBorder="1" applyAlignment="1" applyProtection="1">
      <alignment horizontal="center" vertical="center"/>
      <protection locked="0"/>
    </xf>
    <xf numFmtId="175" fontId="9" fillId="12" borderId="0" xfId="0" applyNumberFormat="1" applyFont="1" applyFill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15" borderId="91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/>
    </xf>
    <xf numFmtId="0" fontId="0" fillId="7" borderId="0" xfId="0" applyFill="1" applyAlignment="1">
      <alignment horizontal="center"/>
    </xf>
    <xf numFmtId="0" fontId="5" fillId="0" borderId="0" xfId="0" applyFont="1" applyAlignment="1">
      <alignment horizontal="left" vertical="center" wrapText="1"/>
    </xf>
    <xf numFmtId="166" fontId="38" fillId="0" borderId="0" xfId="0" applyNumberFormat="1" applyFont="1" applyAlignment="1" applyProtection="1">
      <alignment horizontal="center" vertical="center"/>
      <protection locked="0"/>
    </xf>
    <xf numFmtId="0" fontId="5" fillId="7" borderId="0" xfId="0" applyFont="1" applyFill="1" applyAlignment="1">
      <alignment horizontal="center"/>
    </xf>
    <xf numFmtId="0" fontId="9" fillId="5" borderId="80" xfId="0" applyFont="1" applyFill="1" applyBorder="1" applyAlignment="1">
      <alignment horizontal="center"/>
    </xf>
    <xf numFmtId="0" fontId="9" fillId="5" borderId="11" xfId="0" applyFont="1" applyFill="1" applyBorder="1" applyAlignment="1">
      <alignment horizontal="center"/>
    </xf>
    <xf numFmtId="0" fontId="9" fillId="5" borderId="81" xfId="0" applyFont="1" applyFill="1" applyBorder="1" applyAlignment="1">
      <alignment horizontal="center"/>
    </xf>
    <xf numFmtId="169" fontId="4" fillId="7" borderId="0" xfId="0" applyNumberFormat="1" applyFont="1" applyFill="1" applyAlignment="1">
      <alignment horizontal="center"/>
    </xf>
    <xf numFmtId="0" fontId="5" fillId="10" borderId="63" xfId="0" applyFont="1" applyFill="1" applyBorder="1" applyAlignment="1">
      <alignment horizontal="center"/>
    </xf>
    <xf numFmtId="0" fontId="5" fillId="10" borderId="25" xfId="0" applyFont="1" applyFill="1" applyBorder="1" applyAlignment="1">
      <alignment horizontal="center"/>
    </xf>
    <xf numFmtId="0" fontId="26" fillId="17" borderId="8" xfId="4" applyFont="1" applyFill="1" applyBorder="1" applyAlignment="1">
      <alignment horizontal="center" vertical="top" wrapText="1"/>
    </xf>
    <xf numFmtId="0" fontId="26" fillId="17" borderId="75" xfId="4" applyFont="1" applyFill="1" applyBorder="1" applyAlignment="1">
      <alignment horizontal="center" vertical="top" wrapText="1"/>
    </xf>
    <xf numFmtId="0" fontId="26" fillId="17" borderId="0" xfId="4" applyFont="1" applyFill="1" applyBorder="1" applyAlignment="1">
      <alignment horizontal="center" vertical="top" wrapText="1"/>
    </xf>
    <xf numFmtId="0" fontId="26" fillId="17" borderId="77" xfId="4" applyFont="1" applyFill="1" applyBorder="1" applyAlignment="1">
      <alignment horizontal="center" vertical="top" wrapText="1"/>
    </xf>
    <xf numFmtId="0" fontId="5" fillId="8" borderId="76" xfId="0" applyFont="1" applyFill="1" applyBorder="1" applyAlignment="1">
      <alignment horizontal="center"/>
    </xf>
    <xf numFmtId="0" fontId="5" fillId="8" borderId="0" xfId="0" applyFont="1" applyFill="1" applyAlignment="1">
      <alignment horizontal="center"/>
    </xf>
    <xf numFmtId="169" fontId="4" fillId="8" borderId="76" xfId="0" applyNumberFormat="1" applyFont="1" applyFill="1" applyBorder="1" applyAlignment="1">
      <alignment horizontal="center" vertical="center"/>
    </xf>
    <xf numFmtId="169" fontId="4" fillId="8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9" fillId="0" borderId="0" xfId="0" applyFont="1" applyAlignment="1" applyProtection="1">
      <alignment horizontal="center" vertical="center"/>
      <protection locked="0"/>
    </xf>
    <xf numFmtId="0" fontId="14" fillId="17" borderId="74" xfId="0" applyFont="1" applyFill="1" applyBorder="1" applyAlignment="1">
      <alignment horizontal="center" vertical="center" wrapText="1"/>
    </xf>
    <xf numFmtId="0" fontId="14" fillId="17" borderId="76" xfId="0" applyFont="1" applyFill="1" applyBorder="1" applyAlignment="1">
      <alignment horizontal="center" vertical="center" wrapText="1"/>
    </xf>
    <xf numFmtId="0" fontId="47" fillId="17" borderId="0" xfId="4" quotePrefix="1" applyFont="1" applyFill="1" applyBorder="1" applyAlignment="1" applyProtection="1">
      <alignment horizontal="center" vertical="center" wrapText="1"/>
      <protection locked="0"/>
    </xf>
    <xf numFmtId="10" fontId="52" fillId="6" borderId="0" xfId="1" applyNumberFormat="1" applyFont="1" applyFill="1" applyBorder="1" applyAlignment="1">
      <alignment horizontal="center" vertical="center"/>
    </xf>
    <xf numFmtId="0" fontId="9" fillId="9" borderId="82" xfId="0" applyFont="1" applyFill="1" applyBorder="1" applyAlignment="1">
      <alignment horizontal="center" vertical="center"/>
    </xf>
    <xf numFmtId="0" fontId="9" fillId="9" borderId="12" xfId="0" applyFont="1" applyFill="1" applyBorder="1" applyAlignment="1">
      <alignment horizontal="center" vertical="center"/>
    </xf>
    <xf numFmtId="0" fontId="9" fillId="9" borderId="83" xfId="0" applyFont="1" applyFill="1" applyBorder="1" applyAlignment="1">
      <alignment horizontal="center" vertical="center"/>
    </xf>
    <xf numFmtId="0" fontId="5" fillId="6" borderId="84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6" borderId="85" xfId="0" applyFont="1" applyFill="1" applyBorder="1" applyAlignment="1">
      <alignment horizontal="center" vertical="center"/>
    </xf>
    <xf numFmtId="0" fontId="9" fillId="6" borderId="86" xfId="0" applyFont="1" applyFill="1" applyBorder="1" applyAlignment="1">
      <alignment horizontal="center"/>
    </xf>
    <xf numFmtId="0" fontId="9" fillId="6" borderId="0" xfId="0" applyFont="1" applyFill="1" applyAlignment="1">
      <alignment horizontal="center"/>
    </xf>
    <xf numFmtId="0" fontId="9" fillId="6" borderId="87" xfId="0" applyFont="1" applyFill="1" applyBorder="1" applyAlignment="1">
      <alignment horizontal="center"/>
    </xf>
    <xf numFmtId="169" fontId="4" fillId="6" borderId="0" xfId="0" applyNumberFormat="1" applyFont="1" applyFill="1" applyAlignment="1">
      <alignment horizontal="center"/>
    </xf>
    <xf numFmtId="0" fontId="54" fillId="6" borderId="0" xfId="0" applyFont="1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/>
    </xf>
    <xf numFmtId="188" fontId="4" fillId="6" borderId="0" xfId="0" applyNumberFormat="1" applyFont="1" applyFill="1" applyAlignment="1">
      <alignment horizontal="center"/>
    </xf>
    <xf numFmtId="0" fontId="6" fillId="6" borderId="0" xfId="0" applyFont="1" applyFill="1" applyAlignment="1">
      <alignment horizontal="center"/>
    </xf>
    <xf numFmtId="0" fontId="6" fillId="6" borderId="86" xfId="0" applyFont="1" applyFill="1" applyBorder="1" applyAlignment="1">
      <alignment horizontal="center"/>
    </xf>
    <xf numFmtId="186" fontId="4" fillId="6" borderId="86" xfId="0" applyNumberFormat="1" applyFont="1" applyFill="1" applyBorder="1" applyAlignment="1">
      <alignment horizontal="center"/>
    </xf>
    <xf numFmtId="186" fontId="4" fillId="6" borderId="0" xfId="0" applyNumberFormat="1" applyFont="1" applyFill="1" applyAlignment="1">
      <alignment horizontal="center"/>
    </xf>
    <xf numFmtId="0" fontId="5" fillId="8" borderId="76" xfId="0" applyFont="1" applyFill="1" applyBorder="1" applyAlignment="1">
      <alignment horizontal="center" vertical="top"/>
    </xf>
    <xf numFmtId="0" fontId="5" fillId="8" borderId="0" xfId="0" applyFont="1" applyFill="1" applyAlignment="1">
      <alignment horizontal="center" vertical="top"/>
    </xf>
    <xf numFmtId="0" fontId="5" fillId="8" borderId="76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 wrapText="1"/>
    </xf>
    <xf numFmtId="1" fontId="4" fillId="8" borderId="76" xfId="0" applyNumberFormat="1" applyFont="1" applyFill="1" applyBorder="1" applyAlignment="1">
      <alignment horizontal="center"/>
    </xf>
    <xf numFmtId="1" fontId="4" fillId="8" borderId="0" xfId="0" applyNumberFormat="1" applyFont="1" applyFill="1" applyAlignment="1">
      <alignment horizontal="center"/>
    </xf>
    <xf numFmtId="0" fontId="37" fillId="8" borderId="0" xfId="0" applyFont="1" applyFill="1" applyAlignment="1" applyProtection="1">
      <alignment horizontal="center"/>
      <protection locked="0"/>
    </xf>
    <xf numFmtId="0" fontId="43" fillId="0" borderId="78" xfId="4" applyFont="1" applyBorder="1" applyAlignment="1">
      <alignment horizontal="center" vertical="center"/>
    </xf>
    <xf numFmtId="0" fontId="43" fillId="0" borderId="9" xfId="4" applyFont="1" applyBorder="1" applyAlignment="1">
      <alignment horizontal="center" vertical="center"/>
    </xf>
    <xf numFmtId="0" fontId="43" fillId="0" borderId="79" xfId="4" applyFont="1" applyBorder="1" applyAlignment="1">
      <alignment horizontal="center" vertical="center"/>
    </xf>
    <xf numFmtId="0" fontId="34" fillId="0" borderId="0" xfId="0" applyFont="1" applyAlignment="1">
      <alignment horizontal="center"/>
    </xf>
    <xf numFmtId="10" fontId="4" fillId="6" borderId="0" xfId="1" applyNumberFormat="1" applyFont="1" applyFill="1" applyBorder="1" applyAlignment="1">
      <alignment horizontal="center" vertical="center"/>
    </xf>
    <xf numFmtId="0" fontId="9" fillId="21" borderId="0" xfId="0" applyFont="1" applyFill="1" applyAlignment="1">
      <alignment horizontal="center"/>
    </xf>
    <xf numFmtId="0" fontId="24" fillId="10" borderId="0" xfId="0" applyFont="1" applyFill="1" applyAlignment="1">
      <alignment horizontal="center"/>
    </xf>
    <xf numFmtId="2" fontId="4" fillId="10" borderId="60" xfId="0" applyNumberFormat="1" applyFont="1" applyFill="1" applyBorder="1" applyAlignment="1">
      <alignment horizontal="center"/>
    </xf>
    <xf numFmtId="2" fontId="4" fillId="10" borderId="0" xfId="0" applyNumberFormat="1" applyFont="1" applyFill="1" applyAlignment="1">
      <alignment horizontal="center"/>
    </xf>
    <xf numFmtId="0" fontId="13" fillId="10" borderId="60" xfId="0" applyFont="1" applyFill="1" applyBorder="1" applyAlignment="1">
      <alignment horizontal="center" vertical="top"/>
    </xf>
    <xf numFmtId="0" fontId="13" fillId="10" borderId="0" xfId="0" applyFont="1" applyFill="1" applyAlignment="1">
      <alignment horizontal="center" vertical="top"/>
    </xf>
    <xf numFmtId="0" fontId="24" fillId="10" borderId="62" xfId="0" applyFont="1" applyFill="1" applyBorder="1" applyAlignment="1">
      <alignment horizontal="center"/>
    </xf>
    <xf numFmtId="0" fontId="24" fillId="10" borderId="27" xfId="0" applyFont="1" applyFill="1" applyBorder="1" applyAlignment="1">
      <alignment horizontal="center"/>
    </xf>
    <xf numFmtId="0" fontId="24" fillId="10" borderId="60" xfId="0" applyFont="1" applyFill="1" applyBorder="1" applyAlignment="1">
      <alignment horizontal="center"/>
    </xf>
    <xf numFmtId="0" fontId="5" fillId="10" borderId="59" xfId="0" applyFont="1" applyFill="1" applyBorder="1" applyAlignment="1">
      <alignment horizontal="left" vertical="center"/>
    </xf>
    <xf numFmtId="0" fontId="5" fillId="10" borderId="31" xfId="0" applyFont="1" applyFill="1" applyBorder="1" applyAlignment="1">
      <alignment horizontal="left" vertical="center"/>
    </xf>
    <xf numFmtId="0" fontId="5" fillId="10" borderId="58" xfId="0" applyFont="1" applyFill="1" applyBorder="1" applyAlignment="1">
      <alignment horizontal="left" vertical="center"/>
    </xf>
    <xf numFmtId="0" fontId="5" fillId="10" borderId="30" xfId="0" applyFont="1" applyFill="1" applyBorder="1" applyAlignment="1">
      <alignment horizontal="left" vertical="center"/>
    </xf>
    <xf numFmtId="0" fontId="5" fillId="10" borderId="60" xfId="0" applyFont="1" applyFill="1" applyBorder="1" applyAlignment="1">
      <alignment horizontal="left" vertical="center" wrapText="1"/>
    </xf>
    <xf numFmtId="0" fontId="5" fillId="10" borderId="61" xfId="0" applyFont="1" applyFill="1" applyBorder="1" applyAlignment="1">
      <alignment horizontal="left" vertical="center" wrapText="1"/>
    </xf>
    <xf numFmtId="0" fontId="38" fillId="10" borderId="31" xfId="0" applyFont="1" applyFill="1" applyBorder="1" applyAlignment="1" applyProtection="1">
      <alignment horizontal="center" vertical="center"/>
      <protection locked="0"/>
    </xf>
    <xf numFmtId="0" fontId="49" fillId="15" borderId="96" xfId="0" applyFont="1" applyFill="1" applyBorder="1" applyAlignment="1">
      <alignment horizontal="left" vertical="center"/>
    </xf>
    <xf numFmtId="0" fontId="49" fillId="15" borderId="0" xfId="0" applyFont="1" applyFill="1" applyAlignment="1">
      <alignment horizontal="left" vertical="center"/>
    </xf>
    <xf numFmtId="169" fontId="11" fillId="7" borderId="0" xfId="0" applyNumberFormat="1" applyFont="1" applyFill="1" applyAlignment="1">
      <alignment horizontal="center" vertical="center" wrapText="1"/>
    </xf>
    <xf numFmtId="2" fontId="52" fillId="6" borderId="0" xfId="1" applyNumberFormat="1" applyFont="1" applyFill="1" applyBorder="1" applyAlignment="1">
      <alignment horizontal="center" vertical="center"/>
    </xf>
    <xf numFmtId="0" fontId="49" fillId="5" borderId="76" xfId="0" applyFont="1" applyFill="1" applyBorder="1" applyAlignment="1">
      <alignment horizontal="left" vertical="center"/>
    </xf>
    <xf numFmtId="0" fontId="49" fillId="5" borderId="0" xfId="0" applyFont="1" applyFill="1" applyAlignment="1">
      <alignment horizontal="left" vertical="center"/>
    </xf>
    <xf numFmtId="0" fontId="48" fillId="8" borderId="0" xfId="0" applyFont="1" applyFill="1" applyAlignment="1">
      <alignment horizontal="left" vertical="center" wrapText="1"/>
    </xf>
    <xf numFmtId="0" fontId="48" fillId="8" borderId="0" xfId="0" applyFont="1" applyFill="1" applyAlignment="1">
      <alignment horizontal="left" vertical="center"/>
    </xf>
    <xf numFmtId="0" fontId="49" fillId="6" borderId="10" xfId="0" applyFont="1" applyFill="1" applyBorder="1" applyAlignment="1">
      <alignment horizontal="left" vertical="center"/>
    </xf>
    <xf numFmtId="0" fontId="48" fillId="0" borderId="6" xfId="0" applyFont="1" applyBorder="1" applyAlignment="1">
      <alignment horizontal="left" wrapText="1"/>
    </xf>
    <xf numFmtId="0" fontId="48" fillId="0" borderId="0" xfId="0" applyFont="1" applyAlignment="1">
      <alignment horizontal="left" wrapText="1"/>
    </xf>
    <xf numFmtId="0" fontId="38" fillId="10" borderId="30" xfId="0" applyFont="1" applyFill="1" applyBorder="1" applyAlignment="1" applyProtection="1">
      <alignment horizontal="center" vertical="center"/>
      <protection locked="0"/>
    </xf>
    <xf numFmtId="0" fontId="14" fillId="10" borderId="29" xfId="0" applyFont="1" applyFill="1" applyBorder="1" applyAlignment="1">
      <alignment horizontal="center"/>
    </xf>
    <xf numFmtId="0" fontId="29" fillId="19" borderId="0" xfId="0" applyFont="1" applyFill="1" applyAlignment="1">
      <alignment horizontal="center" vertical="center"/>
    </xf>
    <xf numFmtId="0" fontId="28" fillId="20" borderId="32" xfId="4" applyFont="1" applyFill="1" applyBorder="1" applyAlignment="1" applyProtection="1">
      <alignment horizontal="center" vertical="center"/>
      <protection locked="0"/>
    </xf>
    <xf numFmtId="0" fontId="28" fillId="20" borderId="33" xfId="4" applyFont="1" applyFill="1" applyBorder="1" applyAlignment="1" applyProtection="1">
      <alignment horizontal="center" vertical="center"/>
      <protection locked="0"/>
    </xf>
    <xf numFmtId="0" fontId="28" fillId="20" borderId="34" xfId="4" applyFont="1" applyFill="1" applyBorder="1" applyAlignment="1" applyProtection="1">
      <alignment horizontal="center" vertical="center"/>
      <protection locked="0"/>
    </xf>
    <xf numFmtId="0" fontId="28" fillId="20" borderId="35" xfId="4" applyFont="1" applyFill="1" applyBorder="1" applyAlignment="1" applyProtection="1">
      <alignment horizontal="center" vertical="center"/>
      <protection locked="0"/>
    </xf>
    <xf numFmtId="0" fontId="11" fillId="24" borderId="0" xfId="0" applyFont="1" applyFill="1" applyAlignment="1">
      <alignment horizontal="center" vertical="center" wrapText="1"/>
    </xf>
    <xf numFmtId="0" fontId="7" fillId="24" borderId="38" xfId="4" applyFont="1" applyFill="1" applyBorder="1" applyAlignment="1" applyProtection="1">
      <alignment horizontal="center" vertical="center"/>
      <protection locked="0"/>
    </xf>
    <xf numFmtId="0" fontId="7" fillId="24" borderId="39" xfId="4" applyFont="1" applyFill="1" applyBorder="1" applyAlignment="1" applyProtection="1">
      <alignment horizontal="center" vertical="center"/>
      <protection locked="0"/>
    </xf>
    <xf numFmtId="0" fontId="7" fillId="24" borderId="40" xfId="4" applyFont="1" applyFill="1" applyBorder="1" applyAlignment="1" applyProtection="1">
      <alignment horizontal="center" vertical="center"/>
      <protection locked="0"/>
    </xf>
    <xf numFmtId="0" fontId="7" fillId="24" borderId="41" xfId="4" applyFont="1" applyFill="1" applyBorder="1" applyAlignment="1" applyProtection="1">
      <alignment horizontal="center" vertical="center"/>
      <protection locked="0"/>
    </xf>
    <xf numFmtId="0" fontId="7" fillId="24" borderId="42" xfId="4" applyFont="1" applyFill="1" applyBorder="1" applyAlignment="1" applyProtection="1">
      <alignment horizontal="center" vertical="center"/>
      <protection locked="0"/>
    </xf>
    <xf numFmtId="0" fontId="7" fillId="24" borderId="43" xfId="4" applyFont="1" applyFill="1" applyBorder="1" applyAlignment="1" applyProtection="1">
      <alignment horizontal="center" vertical="center"/>
      <protection locked="0"/>
    </xf>
    <xf numFmtId="0" fontId="7" fillId="24" borderId="38" xfId="4" applyFont="1" applyFill="1" applyBorder="1" applyAlignment="1">
      <alignment horizontal="center" vertical="center"/>
    </xf>
    <xf numFmtId="0" fontId="7" fillId="24" borderId="39" xfId="4" applyFont="1" applyFill="1" applyBorder="1" applyAlignment="1">
      <alignment horizontal="center" vertical="center"/>
    </xf>
    <xf numFmtId="0" fontId="7" fillId="24" borderId="40" xfId="4" applyFont="1" applyFill="1" applyBorder="1" applyAlignment="1">
      <alignment horizontal="center" vertical="center"/>
    </xf>
    <xf numFmtId="0" fontId="7" fillId="24" borderId="41" xfId="4" applyFont="1" applyFill="1" applyBorder="1" applyAlignment="1">
      <alignment horizontal="center" vertical="center"/>
    </xf>
    <xf numFmtId="0" fontId="7" fillId="24" borderId="42" xfId="4" applyFont="1" applyFill="1" applyBorder="1" applyAlignment="1">
      <alignment horizontal="center" vertical="center"/>
    </xf>
    <xf numFmtId="0" fontId="7" fillId="24" borderId="43" xfId="4" applyFont="1" applyFill="1" applyBorder="1" applyAlignment="1">
      <alignment horizontal="center" vertical="center"/>
    </xf>
    <xf numFmtId="0" fontId="11" fillId="5" borderId="0" xfId="0" applyFont="1" applyFill="1" applyAlignment="1">
      <alignment horizontal="left" vertical="center"/>
    </xf>
    <xf numFmtId="0" fontId="7" fillId="5" borderId="92" xfId="4" applyFont="1" applyFill="1" applyBorder="1" applyAlignment="1">
      <alignment horizontal="center" vertical="center"/>
    </xf>
    <xf numFmtId="0" fontId="7" fillId="5" borderId="93" xfId="4" applyFont="1" applyFill="1" applyBorder="1" applyAlignment="1">
      <alignment horizontal="center" vertical="center"/>
    </xf>
    <xf numFmtId="0" fontId="7" fillId="5" borderId="94" xfId="4" applyFont="1" applyFill="1" applyBorder="1" applyAlignment="1">
      <alignment horizontal="center" vertical="center"/>
    </xf>
    <xf numFmtId="0" fontId="7" fillId="5" borderId="95" xfId="4" applyFont="1" applyFill="1" applyBorder="1" applyAlignment="1">
      <alignment horizontal="center" vertical="center"/>
    </xf>
    <xf numFmtId="0" fontId="2" fillId="2" borderId="88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</cellXfs>
  <cellStyles count="5">
    <cellStyle name="Coma" xfId="2" builtinId="3"/>
    <cellStyle name="Enllaç" xfId="4" builtinId="8"/>
    <cellStyle name="Moneda" xfId="3" builtinId="4"/>
    <cellStyle name="Normal" xfId="0" builtinId="0"/>
    <cellStyle name="Percentatge" xfId="1" builtinId="5"/>
  </cellStyles>
  <dxfs count="42">
    <dxf>
      <fill>
        <patternFill>
          <bgColor theme="1" tint="0.499984740745262"/>
        </patternFill>
      </fill>
    </dxf>
    <dxf>
      <fill>
        <patternFill>
          <bgColor rgb="FF92D050"/>
        </patternFill>
      </fill>
    </dxf>
    <dxf>
      <font>
        <color theme="1" tint="0.499984740745262"/>
      </font>
      <fill>
        <patternFill>
          <bgColor theme="1" tint="0.499984740745262"/>
        </patternFill>
      </fill>
    </dxf>
    <dxf>
      <fill>
        <patternFill>
          <bgColor rgb="FFD8EEC0"/>
        </patternFill>
      </fill>
    </dxf>
    <dxf>
      <fill>
        <patternFill>
          <bgColor rgb="FFFFAFAF"/>
        </patternFill>
      </fill>
    </dxf>
    <dxf>
      <fill>
        <patternFill>
          <bgColor rgb="FFD8EEC0"/>
        </patternFill>
      </fill>
    </dxf>
    <dxf>
      <fill>
        <patternFill>
          <bgColor rgb="FFFFAFAF"/>
        </patternFill>
      </fill>
    </dxf>
    <dxf>
      <font>
        <color theme="1" tint="0.499984740745262"/>
      </font>
      <fill>
        <patternFill>
          <bgColor theme="1" tint="0.499984740745262"/>
        </patternFill>
      </fill>
    </dxf>
    <dxf>
      <fill>
        <patternFill>
          <bgColor rgb="FF659A2A"/>
        </patternFill>
      </fill>
    </dxf>
    <dxf>
      <fill>
        <patternFill>
          <bgColor theme="1" tint="0.499984740745262"/>
        </patternFill>
      </fill>
    </dxf>
    <dxf>
      <fill>
        <patternFill>
          <bgColor rgb="FFFF0000"/>
        </patternFill>
      </fill>
    </dxf>
    <dxf>
      <fill>
        <patternFill>
          <bgColor theme="1" tint="0.499984740745262"/>
        </patternFill>
      </fill>
    </dxf>
    <dxf>
      <fill>
        <patternFill>
          <bgColor rgb="FF0070C0"/>
        </patternFill>
      </fill>
    </dxf>
    <dxf>
      <fill>
        <patternFill>
          <bgColor theme="1" tint="0.499984740745262"/>
        </patternFill>
      </fill>
    </dxf>
    <dxf>
      <font>
        <color theme="1" tint="0.499984740745262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 tint="0.49998474074526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6"/>
      </font>
      <fill>
        <patternFill>
          <bgColor theme="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1" tint="0.499984740745262"/>
      </font>
    </dxf>
    <dxf>
      <fill>
        <patternFill>
          <bgColor theme="1" tint="0.49998474074526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theme="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rgb="FF659A2A"/>
        </patternFill>
      </fill>
    </dxf>
    <dxf>
      <font>
        <color theme="1" tint="0.499984740745262"/>
      </font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rgb="FF659A2A"/>
        </patternFill>
      </fill>
    </dxf>
    <dxf>
      <font>
        <color theme="1" tint="0.499984740745262"/>
      </font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659A2A"/>
      <color rgb="FF72AF2F"/>
      <color rgb="FF92D050"/>
      <color rgb="FF5C8E26"/>
      <color rgb="FFFF0000"/>
      <color rgb="FF585858"/>
      <color rgb="FFFFD5D5"/>
      <color rgb="FFD8EEC0"/>
      <color rgb="FFFFAFAF"/>
      <color rgb="FFDAF8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microsoft.com/office/2007/relationships/hdphoto" Target="../media/hdphoto4.wdp"/><Relationship Id="rId18" Type="http://schemas.microsoft.com/office/2007/relationships/hdphoto" Target="../media/hdphoto6.wdp"/><Relationship Id="rId3" Type="http://schemas.openxmlformats.org/officeDocument/2006/relationships/image" Target="../media/image10.png"/><Relationship Id="rId21" Type="http://schemas.openxmlformats.org/officeDocument/2006/relationships/image" Target="../media/image22.jpeg"/><Relationship Id="rId7" Type="http://schemas.microsoft.com/office/2007/relationships/hdphoto" Target="../media/hdphoto1.wdp"/><Relationship Id="rId12" Type="http://schemas.openxmlformats.org/officeDocument/2006/relationships/image" Target="../media/image16.png"/><Relationship Id="rId17" Type="http://schemas.openxmlformats.org/officeDocument/2006/relationships/image" Target="../media/image19.png"/><Relationship Id="rId2" Type="http://schemas.openxmlformats.org/officeDocument/2006/relationships/image" Target="../media/image9.png"/><Relationship Id="rId16" Type="http://schemas.openxmlformats.org/officeDocument/2006/relationships/image" Target="../media/image18.png"/><Relationship Id="rId20" Type="http://schemas.openxmlformats.org/officeDocument/2006/relationships/image" Target="../media/image21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microsoft.com/office/2007/relationships/hdphoto" Target="../media/hdphoto3.wdp"/><Relationship Id="rId5" Type="http://schemas.openxmlformats.org/officeDocument/2006/relationships/image" Target="../media/image12.png"/><Relationship Id="rId15" Type="http://schemas.microsoft.com/office/2007/relationships/hdphoto" Target="../media/hdphoto5.wdp"/><Relationship Id="rId10" Type="http://schemas.openxmlformats.org/officeDocument/2006/relationships/image" Target="../media/image15.png"/><Relationship Id="rId19" Type="http://schemas.openxmlformats.org/officeDocument/2006/relationships/image" Target="../media/image20.jpeg"/><Relationship Id="rId4" Type="http://schemas.openxmlformats.org/officeDocument/2006/relationships/image" Target="../media/image11.png"/><Relationship Id="rId9" Type="http://schemas.microsoft.com/office/2007/relationships/hdphoto" Target="../media/hdphoto2.wdp"/><Relationship Id="rId14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20479</xdr:colOff>
      <xdr:row>6</xdr:row>
      <xdr:rowOff>369561</xdr:rowOff>
    </xdr:from>
    <xdr:to>
      <xdr:col>4</xdr:col>
      <xdr:colOff>139563</xdr:colOff>
      <xdr:row>9</xdr:row>
      <xdr:rowOff>198542</xdr:rowOff>
    </xdr:to>
    <xdr:pic>
      <xdr:nvPicPr>
        <xdr:cNvPr id="26" name="13 Imagen" descr="silueta copia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479" y="1389296"/>
          <a:ext cx="993143" cy="983187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28</xdr:row>
      <xdr:rowOff>85725</xdr:rowOff>
    </xdr:from>
    <xdr:to>
      <xdr:col>4</xdr:col>
      <xdr:colOff>27721</xdr:colOff>
      <xdr:row>30</xdr:row>
      <xdr:rowOff>22972</xdr:rowOff>
    </xdr:to>
    <xdr:pic>
      <xdr:nvPicPr>
        <xdr:cNvPr id="10" name="18 Imagen" descr="regadora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7784" y="6226549"/>
          <a:ext cx="703996" cy="688040"/>
        </a:xfrm>
        <a:prstGeom prst="rect">
          <a:avLst/>
        </a:prstGeom>
      </xdr:spPr>
    </xdr:pic>
    <xdr:clientData/>
  </xdr:twoCellAnchor>
  <xdr:twoCellAnchor editAs="oneCell">
    <xdr:from>
      <xdr:col>8</xdr:col>
      <xdr:colOff>683556</xdr:colOff>
      <xdr:row>5</xdr:row>
      <xdr:rowOff>109087</xdr:rowOff>
    </xdr:from>
    <xdr:to>
      <xdr:col>8</xdr:col>
      <xdr:colOff>1185328</xdr:colOff>
      <xdr:row>6</xdr:row>
      <xdr:rowOff>356731</xdr:rowOff>
    </xdr:to>
    <xdr:pic>
      <xdr:nvPicPr>
        <xdr:cNvPr id="14" name="6 Imagen" descr="pluja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16223" y="892254"/>
          <a:ext cx="501772" cy="512227"/>
        </a:xfrm>
        <a:prstGeom prst="rect">
          <a:avLst/>
        </a:prstGeom>
      </xdr:spPr>
    </xdr:pic>
    <xdr:clientData/>
  </xdr:twoCellAnchor>
  <xdr:twoCellAnchor editAs="oneCell">
    <xdr:from>
      <xdr:col>10</xdr:col>
      <xdr:colOff>981825</xdr:colOff>
      <xdr:row>5</xdr:row>
      <xdr:rowOff>96105</xdr:rowOff>
    </xdr:from>
    <xdr:to>
      <xdr:col>11</xdr:col>
      <xdr:colOff>214223</xdr:colOff>
      <xdr:row>6</xdr:row>
      <xdr:rowOff>374836</xdr:rowOff>
    </xdr:to>
    <xdr:pic>
      <xdr:nvPicPr>
        <xdr:cNvPr id="15" name="17 Imagen" descr="paraguas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flipH="1">
          <a:off x="5871325" y="879272"/>
          <a:ext cx="565898" cy="543314"/>
        </a:xfrm>
        <a:prstGeom prst="rect">
          <a:avLst/>
        </a:prstGeom>
      </xdr:spPr>
    </xdr:pic>
    <xdr:clientData/>
  </xdr:twoCellAnchor>
  <xdr:twoCellAnchor editAs="oneCell">
    <xdr:from>
      <xdr:col>10</xdr:col>
      <xdr:colOff>70656</xdr:colOff>
      <xdr:row>9</xdr:row>
      <xdr:rowOff>59231</xdr:rowOff>
    </xdr:from>
    <xdr:to>
      <xdr:col>10</xdr:col>
      <xdr:colOff>513252</xdr:colOff>
      <xdr:row>10</xdr:row>
      <xdr:rowOff>140404</xdr:rowOff>
    </xdr:to>
    <xdr:pic>
      <xdr:nvPicPr>
        <xdr:cNvPr id="16" name="9 Imagen" descr="pluja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65989" y="2249981"/>
          <a:ext cx="442596" cy="462173"/>
        </a:xfrm>
        <a:prstGeom prst="rect">
          <a:avLst/>
        </a:prstGeom>
      </xdr:spPr>
    </xdr:pic>
    <xdr:clientData/>
  </xdr:twoCellAnchor>
  <xdr:twoCellAnchor editAs="oneCell">
    <xdr:from>
      <xdr:col>9</xdr:col>
      <xdr:colOff>618567</xdr:colOff>
      <xdr:row>10</xdr:row>
      <xdr:rowOff>257735</xdr:rowOff>
    </xdr:from>
    <xdr:to>
      <xdr:col>10</xdr:col>
      <xdr:colOff>601873</xdr:colOff>
      <xdr:row>14</xdr:row>
      <xdr:rowOff>27792</xdr:rowOff>
    </xdr:to>
    <xdr:pic>
      <xdr:nvPicPr>
        <xdr:cNvPr id="17" name="10 Imagen" descr="EMBUT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70832" y="2756647"/>
          <a:ext cx="613260" cy="610498"/>
        </a:xfrm>
        <a:prstGeom prst="rect">
          <a:avLst/>
        </a:prstGeom>
      </xdr:spPr>
    </xdr:pic>
    <xdr:clientData/>
  </xdr:twoCellAnchor>
  <xdr:twoCellAnchor editAs="oneCell">
    <xdr:from>
      <xdr:col>3</xdr:col>
      <xdr:colOff>107260</xdr:colOff>
      <xdr:row>32</xdr:row>
      <xdr:rowOff>59222</xdr:rowOff>
    </xdr:from>
    <xdr:to>
      <xdr:col>4</xdr:col>
      <xdr:colOff>256346</xdr:colOff>
      <xdr:row>36</xdr:row>
      <xdr:rowOff>919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>
                      <a14:foregroundMark x1="64552" y1="38225" x2="64552" y2="38225"/>
                      <a14:foregroundMark x1="9888" y1="50725" x2="9888" y2="5072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35" y="7417285"/>
          <a:ext cx="911086" cy="934520"/>
        </a:xfrm>
        <a:prstGeom prst="rect">
          <a:avLst/>
        </a:prstGeom>
      </xdr:spPr>
    </xdr:pic>
    <xdr:clientData/>
  </xdr:twoCellAnchor>
  <xdr:twoCellAnchor editAs="oneCell">
    <xdr:from>
      <xdr:col>15</xdr:col>
      <xdr:colOff>223555</xdr:colOff>
      <xdr:row>6</xdr:row>
      <xdr:rowOff>23531</xdr:rowOff>
    </xdr:from>
    <xdr:to>
      <xdr:col>23</xdr:col>
      <xdr:colOff>739190</xdr:colOff>
      <xdr:row>9</xdr:row>
      <xdr:rowOff>1075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885" b="92257" l="9910" r="89865">
                      <a14:foregroundMark x1="54054" y1="35255" x2="54054" y2="35255"/>
                      <a14:foregroundMark x1="49324" y1="92257" x2="49324" y2="9225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437" y="1009649"/>
          <a:ext cx="818592" cy="1120224"/>
        </a:xfrm>
        <a:prstGeom prst="rect">
          <a:avLst/>
        </a:prstGeom>
      </xdr:spPr>
    </xdr:pic>
    <xdr:clientData/>
  </xdr:twoCellAnchor>
  <xdr:twoCellAnchor editAs="oneCell">
    <xdr:from>
      <xdr:col>18</xdr:col>
      <xdr:colOff>212912</xdr:colOff>
      <xdr:row>6</xdr:row>
      <xdr:rowOff>45386</xdr:rowOff>
    </xdr:from>
    <xdr:to>
      <xdr:col>24</xdr:col>
      <xdr:colOff>43863</xdr:colOff>
      <xdr:row>8</xdr:row>
      <xdr:rowOff>186675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>
                      <a14:foregroundMark x1="50497" y1="42160" x2="50497" y2="42160"/>
                      <a14:foregroundMark x1="56457" y1="66202" x2="56457" y2="66202"/>
                      <a14:foregroundMark x1="44702" y1="71080" x2="44702" y2="71080"/>
                      <a14:foregroundMark x1="32119" y1="72822" x2="32119" y2="72822"/>
                      <a14:foregroundMark x1="68377" y1="71777" x2="68377" y2="71777"/>
                      <a14:foregroundMark x1="81788" y1="69686" x2="81788" y2="69686"/>
                    </a14:backgroundRemoval>
                  </a14:imgEffect>
                </a14:imgLayer>
              </a14:imgProps>
            </a:ext>
          </a:extLst>
        </a:blip>
        <a:srcRect l="19633" r="7388"/>
        <a:stretch/>
      </xdr:blipFill>
      <xdr:spPr>
        <a:xfrm>
          <a:off x="8987118" y="1031504"/>
          <a:ext cx="1355912" cy="892084"/>
        </a:xfrm>
        <a:prstGeom prst="rect">
          <a:avLst/>
        </a:prstGeom>
      </xdr:spPr>
    </xdr:pic>
    <xdr:clientData/>
  </xdr:twoCellAnchor>
  <xdr:twoCellAnchor editAs="oneCell">
    <xdr:from>
      <xdr:col>8</xdr:col>
      <xdr:colOff>168091</xdr:colOff>
      <xdr:row>27</xdr:row>
      <xdr:rowOff>44821</xdr:rowOff>
    </xdr:from>
    <xdr:to>
      <xdr:col>9</xdr:col>
      <xdr:colOff>139449</xdr:colOff>
      <xdr:row>32</xdr:row>
      <xdr:rowOff>19470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 t="6776" r="18897" b="16067"/>
        <a:stretch/>
      </xdr:blipFill>
      <xdr:spPr>
        <a:xfrm>
          <a:off x="3182473" y="6107203"/>
          <a:ext cx="1199025" cy="1420207"/>
        </a:xfrm>
        <a:prstGeom prst="rect">
          <a:avLst/>
        </a:prstGeom>
      </xdr:spPr>
    </xdr:pic>
    <xdr:clientData/>
  </xdr:twoCellAnchor>
  <xdr:twoCellAnchor editAs="oneCell">
    <xdr:from>
      <xdr:col>23</xdr:col>
      <xdr:colOff>414619</xdr:colOff>
      <xdr:row>4</xdr:row>
      <xdr:rowOff>134471</xdr:rowOff>
    </xdr:from>
    <xdr:to>
      <xdr:col>25</xdr:col>
      <xdr:colOff>172633</xdr:colOff>
      <xdr:row>8</xdr:row>
      <xdr:rowOff>366995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>
                      <a14:foregroundMark x1="39189" y1="25656" x2="39189" y2="2565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98443" y="571500"/>
          <a:ext cx="1382866" cy="1599641"/>
        </a:xfrm>
        <a:prstGeom prst="rect">
          <a:avLst/>
        </a:prstGeom>
      </xdr:spPr>
    </xdr:pic>
    <xdr:clientData/>
  </xdr:twoCellAnchor>
  <xdr:twoCellAnchor editAs="oneCell">
    <xdr:from>
      <xdr:col>23</xdr:col>
      <xdr:colOff>1090171</xdr:colOff>
      <xdr:row>39</xdr:row>
      <xdr:rowOff>37823</xdr:rowOff>
    </xdr:from>
    <xdr:to>
      <xdr:col>26</xdr:col>
      <xdr:colOff>93890</xdr:colOff>
      <xdr:row>41</xdr:row>
      <xdr:rowOff>67320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1171" y="11331752"/>
          <a:ext cx="935933" cy="4649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5</xdr:row>
          <xdr:rowOff>200025</xdr:rowOff>
        </xdr:from>
        <xdr:to>
          <xdr:col>5</xdr:col>
          <xdr:colOff>1000125</xdr:colOff>
          <xdr:row>6</xdr:row>
          <xdr:rowOff>180975</xdr:rowOff>
        </xdr:to>
        <xdr:sp macro="" textlink="">
          <xdr:nvSpPr>
            <xdr:cNvPr id="1063" name="CheckBox1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6</xdr:row>
          <xdr:rowOff>238125</xdr:rowOff>
        </xdr:from>
        <xdr:to>
          <xdr:col>5</xdr:col>
          <xdr:colOff>1114425</xdr:colOff>
          <xdr:row>7</xdr:row>
          <xdr:rowOff>66675</xdr:rowOff>
        </xdr:to>
        <xdr:sp macro="" textlink="">
          <xdr:nvSpPr>
            <xdr:cNvPr id="1064" name="CheckBox2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7</xdr:row>
          <xdr:rowOff>85725</xdr:rowOff>
        </xdr:from>
        <xdr:to>
          <xdr:col>5</xdr:col>
          <xdr:colOff>1047750</xdr:colOff>
          <xdr:row>8</xdr:row>
          <xdr:rowOff>0</xdr:rowOff>
        </xdr:to>
        <xdr:sp macro="" textlink="">
          <xdr:nvSpPr>
            <xdr:cNvPr id="1065" name="CheckBox3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7</xdr:row>
          <xdr:rowOff>333375</xdr:rowOff>
        </xdr:from>
        <xdr:to>
          <xdr:col>5</xdr:col>
          <xdr:colOff>1009650</xdr:colOff>
          <xdr:row>8</xdr:row>
          <xdr:rowOff>276225</xdr:rowOff>
        </xdr:to>
        <xdr:sp macro="" textlink="">
          <xdr:nvSpPr>
            <xdr:cNvPr id="1066" name="CheckBox4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8</xdr:row>
          <xdr:rowOff>276225</xdr:rowOff>
        </xdr:from>
        <xdr:to>
          <xdr:col>5</xdr:col>
          <xdr:colOff>1057275</xdr:colOff>
          <xdr:row>9</xdr:row>
          <xdr:rowOff>152400</xdr:rowOff>
        </xdr:to>
        <xdr:sp macro="" textlink="">
          <xdr:nvSpPr>
            <xdr:cNvPr id="1067" name="CheckBox5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9</xdr:row>
          <xdr:rowOff>171450</xdr:rowOff>
        </xdr:from>
        <xdr:to>
          <xdr:col>5</xdr:col>
          <xdr:colOff>914400</xdr:colOff>
          <xdr:row>10</xdr:row>
          <xdr:rowOff>38100</xdr:rowOff>
        </xdr:to>
        <xdr:sp macro="" textlink="">
          <xdr:nvSpPr>
            <xdr:cNvPr id="1068" name="CheckBox6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10</xdr:row>
          <xdr:rowOff>47625</xdr:rowOff>
        </xdr:from>
        <xdr:to>
          <xdr:col>5</xdr:col>
          <xdr:colOff>1143000</xdr:colOff>
          <xdr:row>10</xdr:row>
          <xdr:rowOff>314325</xdr:rowOff>
        </xdr:to>
        <xdr:sp macro="" textlink="">
          <xdr:nvSpPr>
            <xdr:cNvPr id="1069" name="CheckBox7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23</xdr:col>
      <xdr:colOff>234048</xdr:colOff>
      <xdr:row>16</xdr:row>
      <xdr:rowOff>44822</xdr:rowOff>
    </xdr:from>
    <xdr:to>
      <xdr:col>23</xdr:col>
      <xdr:colOff>717176</xdr:colOff>
      <xdr:row>16</xdr:row>
      <xdr:rowOff>529557</xdr:rowOff>
    </xdr:to>
    <xdr:pic>
      <xdr:nvPicPr>
        <xdr:cNvPr id="2" name="Imatge 1" descr="Duda - Iconos gratis de interfaz">
          <a:extLst>
            <a:ext uri="{FF2B5EF4-FFF2-40B4-BE49-F238E27FC236}">
              <a16:creationId xmlns:a16="http://schemas.microsoft.com/office/drawing/2014/main" id="{1713931B-F62A-506C-545B-72FF8987D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duotone>
            <a:prstClr val="black"/>
            <a:schemeClr val="bg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7872" y="3541057"/>
          <a:ext cx="483128" cy="484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340179</xdr:colOff>
      <xdr:row>1</xdr:row>
      <xdr:rowOff>233695</xdr:rowOff>
    </xdr:from>
    <xdr:to>
      <xdr:col>30</xdr:col>
      <xdr:colOff>21851</xdr:colOff>
      <xdr:row>1</xdr:row>
      <xdr:rowOff>1005648</xdr:rowOff>
    </xdr:to>
    <xdr:pic>
      <xdr:nvPicPr>
        <xdr:cNvPr id="6" name="Imatge 6" descr="Imatge que conté text, Font, logotip, símbol&#10;&#10;Descripció generada automàticament">
          <a:extLst>
            <a:ext uri="{FF2B5EF4-FFF2-40B4-BE49-F238E27FC236}">
              <a16:creationId xmlns:a16="http://schemas.microsoft.com/office/drawing/2014/main" id="{C1B265BA-F890-6D3C-D0A9-EA2D17B69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6393" y="233695"/>
          <a:ext cx="3831851" cy="771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1170213</xdr:colOff>
      <xdr:row>1</xdr:row>
      <xdr:rowOff>40823</xdr:rowOff>
    </xdr:from>
    <xdr:to>
      <xdr:col>10</xdr:col>
      <xdr:colOff>1172614</xdr:colOff>
      <xdr:row>1</xdr:row>
      <xdr:rowOff>1189931</xdr:rowOff>
    </xdr:to>
    <xdr:pic>
      <xdr:nvPicPr>
        <xdr:cNvPr id="8" name="Imatge 5" descr="Imatge que conté logotip, Font, símbol, text&#10;&#10;Descripció generada automàticament">
          <a:extLst>
            <a:ext uri="{FF2B5EF4-FFF2-40B4-BE49-F238E27FC236}">
              <a16:creationId xmlns:a16="http://schemas.microsoft.com/office/drawing/2014/main" id="{7977A454-13F5-C448-91B6-5EC251640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3463" y="40823"/>
          <a:ext cx="1716901" cy="1149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417018</xdr:colOff>
      <xdr:row>1</xdr:row>
      <xdr:rowOff>326570</xdr:rowOff>
    </xdr:from>
    <xdr:to>
      <xdr:col>5</xdr:col>
      <xdr:colOff>635094</xdr:colOff>
      <xdr:row>1</xdr:row>
      <xdr:rowOff>979713</xdr:rowOff>
    </xdr:to>
    <xdr:pic>
      <xdr:nvPicPr>
        <xdr:cNvPr id="13" name="Imatge 3" descr="Imatge que conté text, Font, logotip, símbol&#10;&#10;Descripció generada automàticament">
          <a:extLst>
            <a:ext uri="{FF2B5EF4-FFF2-40B4-BE49-F238E27FC236}">
              <a16:creationId xmlns:a16="http://schemas.microsoft.com/office/drawing/2014/main" id="{5AB8990B-F48E-82E6-A598-E66E135B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875" y="326570"/>
          <a:ext cx="1987005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</xdr:row>
      <xdr:rowOff>57149</xdr:rowOff>
    </xdr:from>
    <xdr:to>
      <xdr:col>11</xdr:col>
      <xdr:colOff>23367</xdr:colOff>
      <xdr:row>38</xdr:row>
      <xdr:rowOff>152399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38149"/>
          <a:ext cx="8272017" cy="677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64476</xdr:colOff>
      <xdr:row>4</xdr:row>
      <xdr:rowOff>54952</xdr:rowOff>
    </xdr:from>
    <xdr:to>
      <xdr:col>8</xdr:col>
      <xdr:colOff>0</xdr:colOff>
      <xdr:row>26</xdr:row>
      <xdr:rowOff>51288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22" r="23005" b="8024"/>
        <a:stretch/>
      </xdr:blipFill>
      <xdr:spPr>
        <a:xfrm>
          <a:off x="64476" y="655760"/>
          <a:ext cx="5811716" cy="40627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65942</xdr:colOff>
      <xdr:row>4</xdr:row>
      <xdr:rowOff>65939</xdr:rowOff>
    </xdr:from>
    <xdr:to>
      <xdr:col>8</xdr:col>
      <xdr:colOff>150</xdr:colOff>
      <xdr:row>26</xdr:row>
      <xdr:rowOff>63136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88" t="6633" r="22057" b="2199"/>
        <a:stretch/>
      </xdr:blipFill>
      <xdr:spPr>
        <a:xfrm>
          <a:off x="65942" y="520208"/>
          <a:ext cx="5810400" cy="40636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control" Target="../activeX/activeX7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ontrol" Target="../activeX/activeX6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B1:AL44"/>
  <sheetViews>
    <sheetView showGridLines="0" tabSelected="1" topLeftCell="A11" zoomScale="70" zoomScaleNormal="70" workbookViewId="0">
      <selection activeCell="K30" sqref="K30:L30"/>
    </sheetView>
  </sheetViews>
  <sheetFormatPr defaultColWidth="11.42578125" defaultRowHeight="15" x14ac:dyDescent="0.25"/>
  <cols>
    <col min="2" max="2" width="1.140625" customWidth="1"/>
    <col min="3" max="3" width="0.42578125" customWidth="1"/>
    <col min="4" max="4" width="11.42578125" customWidth="1"/>
    <col min="5" max="5" width="15" customWidth="1"/>
    <col min="6" max="6" width="17.28515625" customWidth="1"/>
    <col min="7" max="7" width="0.42578125" customWidth="1"/>
    <col min="8" max="8" width="1.140625" customWidth="1"/>
    <col min="9" max="9" width="18.42578125" customWidth="1"/>
    <col min="10" max="10" width="7.42578125" customWidth="1"/>
    <col min="11" max="11" width="20" customWidth="1"/>
    <col min="12" max="12" width="13.85546875" customWidth="1"/>
    <col min="13" max="13" width="0.28515625" customWidth="1"/>
    <col min="14" max="14" width="0.7109375" hidden="1" customWidth="1"/>
    <col min="15" max="15" width="0.42578125" customWidth="1"/>
    <col min="16" max="16" width="17.28515625" hidden="1" customWidth="1"/>
    <col min="17" max="17" width="15.5703125" hidden="1" customWidth="1"/>
    <col min="18" max="18" width="4.140625" hidden="1" customWidth="1"/>
    <col min="19" max="19" width="25" hidden="1" customWidth="1"/>
    <col min="20" max="20" width="3.5703125" hidden="1" customWidth="1"/>
    <col min="21" max="21" width="0.42578125" hidden="1" customWidth="1"/>
    <col min="22" max="22" width="0.7109375" customWidth="1"/>
    <col min="23" max="23" width="0.42578125" customWidth="1"/>
    <col min="24" max="24" width="18.42578125" bestFit="1" customWidth="1"/>
    <col min="25" max="25" width="5.85546875" customWidth="1"/>
    <col min="26" max="27" width="4.7109375" customWidth="1"/>
    <col min="28" max="28" width="8.7109375" customWidth="1"/>
    <col min="29" max="29" width="19.42578125" customWidth="1"/>
    <col min="30" max="30" width="0.42578125" customWidth="1"/>
    <col min="31" max="33" width="1.7109375" hidden="1" customWidth="1"/>
    <col min="34" max="34" width="11.42578125" hidden="1" customWidth="1"/>
    <col min="35" max="35" width="1.140625" customWidth="1"/>
    <col min="37" max="37" width="15.5703125" bestFit="1" customWidth="1"/>
    <col min="39" max="39" width="11.85546875" bestFit="1" customWidth="1"/>
  </cols>
  <sheetData>
    <row r="1" spans="2:38" ht="15.75" thickBot="1" x14ac:dyDescent="0.3"/>
    <row r="2" spans="2:38" ht="96.75" customHeight="1" thickTop="1" thickBot="1" x14ac:dyDescent="0.4">
      <c r="B2" s="134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231"/>
      <c r="AD2" s="135"/>
      <c r="AE2" s="135"/>
      <c r="AF2" s="135"/>
      <c r="AG2" s="135"/>
      <c r="AH2" s="135"/>
      <c r="AI2" s="136"/>
    </row>
    <row r="3" spans="2:38" ht="21.75" customHeight="1" thickTop="1" thickBot="1" x14ac:dyDescent="0.35">
      <c r="B3" s="137"/>
      <c r="C3" s="283" t="s">
        <v>77</v>
      </c>
      <c r="D3" s="283"/>
      <c r="E3" s="283"/>
      <c r="F3" s="283"/>
      <c r="G3" s="283"/>
      <c r="I3" s="288" t="s">
        <v>63</v>
      </c>
      <c r="J3" s="289"/>
      <c r="K3" s="289"/>
      <c r="L3" s="289"/>
      <c r="M3" s="290"/>
      <c r="O3" s="138"/>
      <c r="P3" s="276" t="s">
        <v>181</v>
      </c>
      <c r="Q3" s="276"/>
      <c r="R3" s="276"/>
      <c r="S3" s="276"/>
      <c r="T3" s="276"/>
      <c r="U3" s="138"/>
      <c r="W3" s="265" t="s">
        <v>199</v>
      </c>
      <c r="X3" s="265"/>
      <c r="Y3" s="265"/>
      <c r="Z3" s="265"/>
      <c r="AA3" s="265"/>
      <c r="AB3" s="265"/>
      <c r="AC3" s="265"/>
      <c r="AD3" s="265"/>
      <c r="AI3" s="139"/>
    </row>
    <row r="4" spans="2:38" ht="6" customHeight="1" thickTop="1" thickBot="1" x14ac:dyDescent="0.3">
      <c r="B4" s="137"/>
      <c r="C4" s="16"/>
      <c r="D4" s="16"/>
      <c r="E4" s="16"/>
      <c r="F4" s="16"/>
      <c r="G4" s="16"/>
      <c r="I4" s="304" t="s">
        <v>185</v>
      </c>
      <c r="J4" s="221"/>
      <c r="K4" s="96"/>
      <c r="L4" s="294"/>
      <c r="M4" s="295"/>
      <c r="O4" s="140"/>
      <c r="P4" s="173"/>
      <c r="Q4" s="80"/>
      <c r="R4" s="80"/>
      <c r="S4" s="80"/>
      <c r="T4" s="174"/>
      <c r="U4" s="140"/>
      <c r="W4" s="98"/>
      <c r="X4" s="98"/>
      <c r="Y4" s="98"/>
      <c r="Z4" s="98"/>
      <c r="AA4" s="98"/>
      <c r="AB4" s="98"/>
      <c r="AC4" s="98"/>
      <c r="AD4" s="98"/>
      <c r="AI4" s="139"/>
    </row>
    <row r="5" spans="2:38" ht="27" customHeight="1" thickTop="1" thickBot="1" x14ac:dyDescent="0.3">
      <c r="B5" s="137"/>
      <c r="C5" s="15"/>
      <c r="D5" s="281" t="s">
        <v>53</v>
      </c>
      <c r="E5" s="281"/>
      <c r="F5" s="281"/>
      <c r="G5" s="15"/>
      <c r="I5" s="305"/>
      <c r="J5" s="306" t="s">
        <v>57</v>
      </c>
      <c r="K5" s="306"/>
      <c r="L5" s="296"/>
      <c r="M5" s="297"/>
      <c r="O5" s="140"/>
      <c r="P5" s="277" t="s">
        <v>258</v>
      </c>
      <c r="Q5" s="278"/>
      <c r="R5" s="278"/>
      <c r="S5" s="278"/>
      <c r="T5" s="279"/>
      <c r="U5" s="140"/>
      <c r="W5" s="98"/>
      <c r="X5" s="141"/>
      <c r="Y5" s="141"/>
      <c r="Z5" s="266"/>
      <c r="AA5" s="266"/>
      <c r="AB5" s="266"/>
      <c r="AC5" s="266"/>
      <c r="AD5" s="98"/>
      <c r="AH5" t="s">
        <v>879</v>
      </c>
      <c r="AI5" s="139"/>
    </row>
    <row r="6" spans="2:38" ht="21" thickTop="1" x14ac:dyDescent="0.3">
      <c r="B6" s="137"/>
      <c r="C6" s="15"/>
      <c r="D6" s="186"/>
      <c r="E6" s="9" t="s">
        <v>54</v>
      </c>
      <c r="F6" s="225"/>
      <c r="G6" s="15"/>
      <c r="I6" s="175"/>
      <c r="J6" s="23"/>
      <c r="K6" s="23"/>
      <c r="L6" s="23"/>
      <c r="M6" s="176"/>
      <c r="O6" s="140"/>
      <c r="P6" s="236" t="s">
        <v>241</v>
      </c>
      <c r="Q6" s="237"/>
      <c r="R6" s="237" t="s">
        <v>242</v>
      </c>
      <c r="S6" s="237"/>
      <c r="T6" s="238"/>
      <c r="U6" s="140"/>
      <c r="W6" s="98"/>
      <c r="X6" s="141"/>
      <c r="Y6" s="141"/>
      <c r="Z6" s="267" t="s">
        <v>223</v>
      </c>
      <c r="AA6" s="267"/>
      <c r="AB6" s="267"/>
      <c r="AC6" s="267"/>
      <c r="AD6" s="98"/>
      <c r="AE6" s="142"/>
      <c r="AF6" s="142"/>
      <c r="AI6" s="139"/>
    </row>
    <row r="7" spans="2:38" ht="31.5" x14ac:dyDescent="0.5">
      <c r="B7" s="137"/>
      <c r="C7" s="15"/>
      <c r="E7" s="195">
        <v>2</v>
      </c>
      <c r="F7" s="226"/>
      <c r="G7" s="15"/>
      <c r="I7" s="175"/>
      <c r="J7" s="23"/>
      <c r="K7" s="23"/>
      <c r="L7" s="23"/>
      <c r="M7" s="176"/>
      <c r="O7" s="140"/>
      <c r="P7" s="163"/>
      <c r="Q7" s="143" t="s">
        <v>179</v>
      </c>
      <c r="R7" s="27"/>
      <c r="S7" s="27"/>
      <c r="T7" s="164"/>
      <c r="U7" s="140"/>
      <c r="W7" s="98"/>
      <c r="X7" s="141"/>
      <c r="Y7" s="141"/>
      <c r="Z7" s="268">
        <f>VLOOKUP(J5,'Balanç anual'!AN6:AS7,3,FALSE)+VLOOKUP(J5,'Balanç anual'!AN6:AS7,4,FALSE)</f>
        <v>335.12774616649102</v>
      </c>
      <c r="AA7" s="268"/>
      <c r="AB7" s="268"/>
      <c r="AC7" s="268"/>
      <c r="AD7" s="98"/>
      <c r="AE7" s="142"/>
      <c r="AF7" s="142"/>
      <c r="AI7" s="139"/>
    </row>
    <row r="8" spans="2:38" ht="27" customHeight="1" x14ac:dyDescent="0.3">
      <c r="B8" s="137"/>
      <c r="C8" s="15"/>
      <c r="E8" s="10" t="s">
        <v>55</v>
      </c>
      <c r="F8" s="226"/>
      <c r="G8" s="15"/>
      <c r="I8" s="327" t="s">
        <v>67</v>
      </c>
      <c r="J8" s="328"/>
      <c r="K8" s="328" t="s">
        <v>68</v>
      </c>
      <c r="L8" s="328"/>
      <c r="M8" s="177"/>
      <c r="O8" s="140"/>
      <c r="P8" s="165"/>
      <c r="Q8" s="144">
        <f>E11/2</f>
        <v>161</v>
      </c>
      <c r="R8" s="79"/>
      <c r="S8" s="79"/>
      <c r="T8" s="166"/>
      <c r="U8" s="140"/>
      <c r="W8" s="98"/>
      <c r="X8" s="141"/>
      <c r="Y8" s="141"/>
      <c r="Z8" s="268"/>
      <c r="AA8" s="268"/>
      <c r="AB8" s="268"/>
      <c r="AC8" s="268"/>
      <c r="AD8" s="98"/>
      <c r="AE8" s="142"/>
      <c r="AF8" s="142"/>
      <c r="AI8" s="139"/>
    </row>
    <row r="9" spans="2:38" ht="31.7" customHeight="1" x14ac:dyDescent="0.5">
      <c r="B9" s="137"/>
      <c r="C9" s="15"/>
      <c r="E9" s="196">
        <v>0.8</v>
      </c>
      <c r="F9" s="226"/>
      <c r="G9" s="15"/>
      <c r="I9" s="329">
        <f>IF(J5="Personalitzat",'Dades meteorològiques'!O7,IF(K23=0,(VLOOKUP(J5,'Aigua recollida'!P6:Q23,2,FALSE)),APLICATIU!K23))</f>
        <v>704.02</v>
      </c>
      <c r="J9" s="330"/>
      <c r="K9" s="331">
        <v>1250</v>
      </c>
      <c r="L9" s="331"/>
      <c r="M9" s="176"/>
      <c r="O9" s="140"/>
      <c r="P9" s="167"/>
      <c r="Q9" s="145" t="s">
        <v>79</v>
      </c>
      <c r="R9" s="78"/>
      <c r="S9" s="78"/>
      <c r="T9" s="168"/>
      <c r="U9" s="140"/>
      <c r="W9" s="98"/>
      <c r="X9" s="271" t="s">
        <v>199</v>
      </c>
      <c r="Y9" s="271"/>
      <c r="Z9" s="271" t="s">
        <v>208</v>
      </c>
      <c r="AA9" s="271"/>
      <c r="AB9" s="271"/>
      <c r="AC9" s="271"/>
      <c r="AD9" s="98"/>
      <c r="AE9" s="142"/>
      <c r="AF9" s="142"/>
      <c r="AI9" s="139"/>
    </row>
    <row r="10" spans="2:38" ht="30" customHeight="1" x14ac:dyDescent="0.25">
      <c r="B10" s="137"/>
      <c r="C10" s="15"/>
      <c r="E10" s="19" t="s">
        <v>71</v>
      </c>
      <c r="F10" s="227"/>
      <c r="G10" s="15"/>
      <c r="I10" s="325" t="s">
        <v>69</v>
      </c>
      <c r="J10" s="326"/>
      <c r="K10" s="326" t="s">
        <v>70</v>
      </c>
      <c r="L10" s="326"/>
      <c r="M10" s="176"/>
      <c r="O10" s="140"/>
      <c r="P10" s="169" t="s">
        <v>80</v>
      </c>
      <c r="Q10" s="26">
        <f>IF(AND(Q8=0,Q8=0),0,IF(AND(Q8&gt;0,Q8&lt;=43),43,IF(AND(Q8&gt;43,Q8&lt;=94),94,IF(AND(Q8&gt;94,Q8&lt;=190),190,IF(AND(Q8&gt;190,Q8&lt;=297),297,IF(AND(Q8&gt;297,Q8&lt;=486),486,IF(AND(Q8&gt;486,Q8&lt;=905),905,IF(AND(Q8&gt;905,Q8&lt;=1002),1002,IF(AND(Q8&gt;1002,Q8&lt;=1050),1050,IF(AND(Q8&gt;1050,Q8&lt;=100000000000),1050))))))))))</f>
        <v>190</v>
      </c>
      <c r="R10" s="250"/>
      <c r="S10" s="250"/>
      <c r="T10" s="251"/>
      <c r="U10" s="140"/>
      <c r="W10" s="98"/>
      <c r="X10" s="271"/>
      <c r="Y10" s="271"/>
      <c r="Z10" s="271"/>
      <c r="AA10" s="271"/>
      <c r="AB10" s="271"/>
      <c r="AC10" s="271"/>
      <c r="AD10" s="98"/>
      <c r="AI10" s="139"/>
      <c r="AK10" s="193"/>
    </row>
    <row r="11" spans="2:38" ht="31.5" x14ac:dyDescent="0.5">
      <c r="B11" s="137"/>
      <c r="C11" s="15"/>
      <c r="E11" s="11">
        <f>IF(E13=0,Consum!C16*E7,E13)</f>
        <v>322</v>
      </c>
      <c r="F11" s="226"/>
      <c r="G11" s="15"/>
      <c r="I11" s="175"/>
      <c r="J11" s="24"/>
      <c r="K11" s="24"/>
      <c r="L11" s="24"/>
      <c r="M11" s="176"/>
      <c r="O11" s="140"/>
      <c r="P11" s="170" t="s">
        <v>183</v>
      </c>
      <c r="Q11" s="82">
        <f>(Q10/E11)*24</f>
        <v>14.161490683229815</v>
      </c>
      <c r="R11" s="257" t="s">
        <v>182</v>
      </c>
      <c r="S11" s="257"/>
      <c r="T11" s="258"/>
      <c r="U11" s="140"/>
      <c r="W11" s="98"/>
      <c r="X11" s="270">
        <f>IFERROR(Z11/Z7,"-")</f>
        <v>1</v>
      </c>
      <c r="Y11" s="270"/>
      <c r="Z11" s="269">
        <f>IFERROR(VLOOKUP(J5,'Balanç anual'!AN6:AS7,6,FALSE),"-")</f>
        <v>335.12774616649102</v>
      </c>
      <c r="AA11" s="269"/>
      <c r="AB11" s="269"/>
      <c r="AC11" s="269"/>
      <c r="AD11" s="98"/>
      <c r="AI11" s="139"/>
      <c r="AL11" s="194"/>
    </row>
    <row r="12" spans="2:38" ht="15.75" customHeight="1" x14ac:dyDescent="0.25">
      <c r="B12" s="137"/>
      <c r="C12" s="15"/>
      <c r="E12" s="10" t="s">
        <v>56</v>
      </c>
      <c r="F12" s="226"/>
      <c r="G12" s="15"/>
      <c r="I12" s="175"/>
      <c r="J12" s="24"/>
      <c r="K12" s="24"/>
      <c r="L12" s="24"/>
      <c r="M12" s="176"/>
      <c r="O12" s="140"/>
      <c r="P12" s="256" t="s">
        <v>81</v>
      </c>
      <c r="Q12" s="280">
        <v>0.5</v>
      </c>
      <c r="R12" s="254">
        <f>K30/24</f>
        <v>2.3000000000000003</v>
      </c>
      <c r="S12" s="254"/>
      <c r="T12" s="255"/>
      <c r="U12" s="140"/>
      <c r="W12" s="98"/>
      <c r="X12" s="270"/>
      <c r="Y12" s="270"/>
      <c r="Z12" s="269"/>
      <c r="AA12" s="269"/>
      <c r="AB12" s="269"/>
      <c r="AC12" s="269"/>
      <c r="AD12" s="98"/>
      <c r="AI12" s="139"/>
    </row>
    <row r="13" spans="2:38" ht="15.75" customHeight="1" thickBot="1" x14ac:dyDescent="0.3">
      <c r="B13" s="137"/>
      <c r="C13" s="15"/>
      <c r="D13" s="184" t="s">
        <v>57</v>
      </c>
      <c r="E13" s="190">
        <v>0</v>
      </c>
      <c r="F13" s="146"/>
      <c r="G13" s="15"/>
      <c r="I13" s="175"/>
      <c r="J13" s="24"/>
      <c r="K13" s="24"/>
      <c r="L13" s="24"/>
      <c r="M13" s="176"/>
      <c r="O13" s="140"/>
      <c r="P13" s="256"/>
      <c r="Q13" s="280"/>
      <c r="R13" s="250"/>
      <c r="S13" s="250"/>
      <c r="T13" s="251"/>
      <c r="U13" s="140"/>
      <c r="W13" s="98"/>
      <c r="X13" s="270"/>
      <c r="Y13" s="270"/>
      <c r="Z13" s="269"/>
      <c r="AA13" s="269"/>
      <c r="AB13" s="269"/>
      <c r="AC13" s="269"/>
      <c r="AD13" s="98"/>
      <c r="AI13" s="139"/>
    </row>
    <row r="14" spans="2:38" ht="3" customHeight="1" thickTop="1" x14ac:dyDescent="0.25">
      <c r="B14" s="137"/>
      <c r="C14" s="15"/>
      <c r="D14" s="15"/>
      <c r="E14" s="15"/>
      <c r="F14" s="15"/>
      <c r="G14" s="15"/>
      <c r="I14" s="175"/>
      <c r="J14" s="24"/>
      <c r="K14" s="24"/>
      <c r="L14" s="24"/>
      <c r="M14" s="176"/>
      <c r="O14" s="140"/>
      <c r="P14" s="256" t="s">
        <v>176</v>
      </c>
      <c r="Q14" s="263">
        <v>40</v>
      </c>
      <c r="R14" s="250"/>
      <c r="S14" s="250"/>
      <c r="T14" s="251"/>
      <c r="U14" s="140"/>
      <c r="W14" s="98"/>
      <c r="X14" s="98"/>
      <c r="Y14" s="98"/>
      <c r="Z14" s="98"/>
      <c r="AA14" s="98"/>
      <c r="AB14" s="98"/>
      <c r="AC14" s="98"/>
      <c r="AD14" s="98"/>
      <c r="AI14" s="139"/>
    </row>
    <row r="15" spans="2:38" ht="3" customHeight="1" x14ac:dyDescent="0.25">
      <c r="B15" s="137"/>
      <c r="C15" s="15"/>
      <c r="D15" s="15"/>
      <c r="E15" s="15"/>
      <c r="F15" s="15"/>
      <c r="G15" s="15"/>
      <c r="I15" s="175"/>
      <c r="J15" s="24"/>
      <c r="K15" s="24"/>
      <c r="L15" s="24"/>
      <c r="M15" s="176"/>
      <c r="O15" s="140"/>
      <c r="P15" s="256"/>
      <c r="Q15" s="263"/>
      <c r="R15" s="250"/>
      <c r="S15" s="250"/>
      <c r="T15" s="251"/>
      <c r="U15" s="140"/>
      <c r="AI15" s="139"/>
    </row>
    <row r="16" spans="2:38" ht="3" customHeight="1" thickBot="1" x14ac:dyDescent="0.3">
      <c r="B16" s="137"/>
      <c r="C16" s="15"/>
      <c r="D16" s="15"/>
      <c r="E16" s="15"/>
      <c r="F16" s="15"/>
      <c r="G16" s="15"/>
      <c r="I16" s="175"/>
      <c r="J16" s="24"/>
      <c r="K16" s="24"/>
      <c r="L16" s="24"/>
      <c r="M16" s="176"/>
      <c r="O16" s="140"/>
      <c r="P16" s="256"/>
      <c r="Q16" s="263"/>
      <c r="R16" s="250"/>
      <c r="S16" s="250"/>
      <c r="T16" s="251"/>
      <c r="U16" s="140"/>
      <c r="W16" s="110"/>
      <c r="X16" s="110"/>
      <c r="Y16" s="110"/>
      <c r="Z16" s="110"/>
      <c r="AA16" s="110"/>
      <c r="AB16" s="110"/>
      <c r="AC16" s="110"/>
      <c r="AD16" s="110"/>
      <c r="AI16" s="139"/>
    </row>
    <row r="17" spans="2:38" ht="45" customHeight="1" thickTop="1" thickBot="1" x14ac:dyDescent="0.3">
      <c r="B17" s="137"/>
      <c r="C17" s="15"/>
      <c r="D17" s="282" t="s">
        <v>58</v>
      </c>
      <c r="E17" s="282"/>
      <c r="F17" s="282"/>
      <c r="G17" s="15"/>
      <c r="I17" s="298" t="s">
        <v>78</v>
      </c>
      <c r="J17" s="299"/>
      <c r="K17" s="299"/>
      <c r="L17" s="299"/>
      <c r="M17" s="176"/>
      <c r="O17" s="140"/>
      <c r="P17" s="256"/>
      <c r="Q17" s="263"/>
      <c r="R17" s="250"/>
      <c r="S17" s="250"/>
      <c r="T17" s="251"/>
      <c r="U17" s="140"/>
      <c r="W17" s="110"/>
      <c r="X17" s="272" t="s">
        <v>884</v>
      </c>
      <c r="Y17" s="273"/>
      <c r="Z17" s="273"/>
      <c r="AA17" s="273"/>
      <c r="AB17" s="273"/>
      <c r="AC17" s="273"/>
      <c r="AD17" s="110"/>
      <c r="AI17" s="139"/>
      <c r="AK17" s="192"/>
    </row>
    <row r="18" spans="2:38" ht="19.5" customHeight="1" thickTop="1" thickBot="1" x14ac:dyDescent="0.35">
      <c r="B18" s="137"/>
      <c r="C18" s="15"/>
      <c r="D18" s="205" t="s">
        <v>59</v>
      </c>
      <c r="E18" s="205" t="s">
        <v>61</v>
      </c>
      <c r="F18" s="205" t="s">
        <v>60</v>
      </c>
      <c r="G18" s="15"/>
      <c r="I18" s="298" t="s">
        <v>265</v>
      </c>
      <c r="J18" s="299"/>
      <c r="K18" s="299"/>
      <c r="L18" s="299"/>
      <c r="M18" s="176"/>
      <c r="O18" s="147"/>
      <c r="P18" s="171" t="s">
        <v>177</v>
      </c>
      <c r="Q18" s="119">
        <f>Q10*Q12/Q14</f>
        <v>2.375</v>
      </c>
      <c r="R18" s="120"/>
      <c r="S18" s="120"/>
      <c r="T18" s="172"/>
      <c r="U18" s="147"/>
      <c r="W18" s="110"/>
      <c r="X18" s="233" t="s">
        <v>886</v>
      </c>
      <c r="Y18" s="234"/>
      <c r="Z18" s="234"/>
      <c r="AA18" s="234"/>
      <c r="AB18" s="234"/>
      <c r="AC18" s="234"/>
      <c r="AD18" s="110"/>
      <c r="AI18" s="139"/>
    </row>
    <row r="19" spans="2:38" ht="5.25" customHeight="1" thickTop="1" thickBot="1" x14ac:dyDescent="0.35">
      <c r="B19" s="137"/>
      <c r="C19" s="15"/>
      <c r="D19" s="285" t="s">
        <v>22</v>
      </c>
      <c r="E19" s="189"/>
      <c r="F19" s="286">
        <v>100</v>
      </c>
      <c r="G19" s="15"/>
      <c r="I19" s="298"/>
      <c r="J19" s="299"/>
      <c r="K19" s="299"/>
      <c r="L19" s="299"/>
      <c r="M19" s="176"/>
      <c r="W19" s="110"/>
      <c r="X19" s="337"/>
      <c r="Y19" s="337"/>
      <c r="Z19" s="337"/>
      <c r="AA19" s="337"/>
      <c r="AB19" s="337"/>
      <c r="AC19" s="337"/>
      <c r="AD19" s="110"/>
      <c r="AI19" s="139"/>
    </row>
    <row r="20" spans="2:38" ht="22.7" customHeight="1" thickTop="1" thickBot="1" x14ac:dyDescent="0.35">
      <c r="B20" s="137"/>
      <c r="C20" s="15"/>
      <c r="D20" s="285"/>
      <c r="E20" s="206" t="s">
        <v>32</v>
      </c>
      <c r="F20" s="286"/>
      <c r="G20" s="15"/>
      <c r="I20" s="300">
        <f>IF(K23=0,(VLOOKUP(J5,'Aigua recollida'!P6:R23,3,FALSE)),I9/365*K9*0.8)</f>
        <v>1928.8219178082193</v>
      </c>
      <c r="J20" s="301"/>
      <c r="K20" s="301"/>
      <c r="L20" s="301"/>
      <c r="M20" s="176"/>
      <c r="O20" s="118"/>
      <c r="P20" s="264" t="s">
        <v>82</v>
      </c>
      <c r="Q20" s="264"/>
      <c r="R20" s="264"/>
      <c r="S20" s="264"/>
      <c r="T20" s="264"/>
      <c r="U20" s="118"/>
      <c r="W20" s="110"/>
      <c r="X20" s="361" t="s">
        <v>885</v>
      </c>
      <c r="Y20" s="361"/>
      <c r="Z20" s="361"/>
      <c r="AA20" s="361"/>
      <c r="AB20" s="361"/>
      <c r="AC20" s="229"/>
      <c r="AD20" s="110"/>
      <c r="AI20" s="139"/>
    </row>
    <row r="21" spans="2:38" ht="85.5" customHeight="1" thickTop="1" thickBot="1" x14ac:dyDescent="0.3">
      <c r="B21" s="137"/>
      <c r="C21" s="15"/>
      <c r="D21" s="148" t="s">
        <v>23</v>
      </c>
      <c r="E21" s="206" t="s">
        <v>31</v>
      </c>
      <c r="F21" s="197">
        <v>200</v>
      </c>
      <c r="G21" s="15"/>
      <c r="I21" s="300"/>
      <c r="J21" s="301"/>
      <c r="K21" s="301"/>
      <c r="L21" s="301"/>
      <c r="M21" s="176"/>
      <c r="O21" s="113"/>
      <c r="P21" s="162"/>
      <c r="Q21" s="365" t="s">
        <v>178</v>
      </c>
      <c r="R21" s="365"/>
      <c r="S21" s="198">
        <v>1</v>
      </c>
      <c r="T21" s="159"/>
      <c r="U21" s="113"/>
      <c r="W21" s="110"/>
      <c r="X21" s="362" t="s">
        <v>892</v>
      </c>
      <c r="Y21" s="362"/>
      <c r="Z21" s="362"/>
      <c r="AA21" s="362"/>
      <c r="AB21" s="362"/>
      <c r="AC21" s="362"/>
      <c r="AD21" s="110"/>
      <c r="AI21" s="139"/>
    </row>
    <row r="22" spans="2:38" ht="21.75" customHeight="1" thickTop="1" thickBot="1" x14ac:dyDescent="0.3">
      <c r="B22" s="137"/>
      <c r="C22" s="15"/>
      <c r="D22" s="148" t="s">
        <v>24</v>
      </c>
      <c r="E22" s="206" t="s">
        <v>31</v>
      </c>
      <c r="F22" s="197">
        <v>0</v>
      </c>
      <c r="G22" s="15"/>
      <c r="I22" s="325" t="s">
        <v>56</v>
      </c>
      <c r="J22" s="326"/>
      <c r="K22" s="326"/>
      <c r="L22" s="326"/>
      <c r="M22" s="176"/>
      <c r="O22" s="113"/>
      <c r="P22" s="243" t="s">
        <v>189</v>
      </c>
      <c r="Q22" s="239"/>
      <c r="R22" s="239"/>
      <c r="S22" s="239" t="s">
        <v>190</v>
      </c>
      <c r="T22" s="240"/>
      <c r="U22" s="113"/>
      <c r="W22" s="110"/>
      <c r="X22" s="363"/>
      <c r="Y22" s="363"/>
      <c r="Z22" s="363"/>
      <c r="AA22" s="363"/>
      <c r="AB22" s="363"/>
      <c r="AC22" s="363"/>
      <c r="AD22" s="110"/>
      <c r="AI22" s="139"/>
      <c r="AL22" s="194"/>
    </row>
    <row r="23" spans="2:38" ht="16.5" customHeight="1" thickTop="1" thickBot="1" x14ac:dyDescent="0.3">
      <c r="B23" s="137"/>
      <c r="C23" s="284"/>
      <c r="D23" s="302" t="s">
        <v>25</v>
      </c>
      <c r="E23" s="303" t="s">
        <v>31</v>
      </c>
      <c r="F23" s="286">
        <v>0</v>
      </c>
      <c r="G23" s="284"/>
      <c r="I23" s="332" t="s">
        <v>270</v>
      </c>
      <c r="J23" s="333"/>
      <c r="K23" s="333"/>
      <c r="L23" s="333"/>
      <c r="M23" s="334"/>
      <c r="O23" s="113"/>
      <c r="P23" s="348" t="s">
        <v>251</v>
      </c>
      <c r="Q23" s="349"/>
      <c r="R23" s="364">
        <v>1</v>
      </c>
      <c r="S23" s="261" t="s">
        <v>255</v>
      </c>
      <c r="T23" s="259">
        <v>1</v>
      </c>
      <c r="U23" s="113"/>
      <c r="W23" s="110"/>
      <c r="X23" s="353" t="s">
        <v>887</v>
      </c>
      <c r="Y23" s="353"/>
      <c r="Z23" s="353"/>
      <c r="AA23" s="353"/>
      <c r="AB23" s="353"/>
      <c r="AC23" s="353"/>
      <c r="AD23" s="110"/>
      <c r="AI23" s="139"/>
    </row>
    <row r="24" spans="2:38" ht="6.75" customHeight="1" thickTop="1" thickBot="1" x14ac:dyDescent="0.3">
      <c r="B24" s="137"/>
      <c r="C24" s="284"/>
      <c r="D24" s="302"/>
      <c r="E24" s="303"/>
      <c r="F24" s="286"/>
      <c r="G24" s="284"/>
      <c r="I24" s="20"/>
      <c r="J24" s="20"/>
      <c r="K24" s="21"/>
      <c r="L24" s="21"/>
      <c r="M24" s="21"/>
      <c r="O24" s="113"/>
      <c r="P24" s="346"/>
      <c r="Q24" s="347"/>
      <c r="R24" s="352"/>
      <c r="S24" s="262"/>
      <c r="T24" s="260"/>
      <c r="U24" s="113"/>
      <c r="W24" s="110"/>
      <c r="X24" s="354"/>
      <c r="Y24" s="354"/>
      <c r="Z24" s="354"/>
      <c r="AA24" s="354"/>
      <c r="AB24" s="354"/>
      <c r="AC24" s="354"/>
      <c r="AD24" s="110"/>
      <c r="AI24" s="139"/>
    </row>
    <row r="25" spans="2:38" ht="27" customHeight="1" thickTop="1" thickBot="1" x14ac:dyDescent="0.3">
      <c r="B25" s="137"/>
      <c r="C25" s="15"/>
      <c r="D25" s="148" t="s">
        <v>26</v>
      </c>
      <c r="E25" s="206" t="s">
        <v>31</v>
      </c>
      <c r="F25" s="197">
        <v>0</v>
      </c>
      <c r="G25" s="15"/>
      <c r="I25" s="308" t="s">
        <v>72</v>
      </c>
      <c r="J25" s="309"/>
      <c r="K25" s="309"/>
      <c r="L25" s="309"/>
      <c r="M25" s="310"/>
      <c r="O25" s="113"/>
      <c r="P25" s="346" t="s">
        <v>252</v>
      </c>
      <c r="Q25" s="347"/>
      <c r="R25" s="199">
        <v>0</v>
      </c>
      <c r="S25" s="248" t="s">
        <v>194</v>
      </c>
      <c r="T25" s="252">
        <v>0</v>
      </c>
      <c r="U25" s="113"/>
      <c r="W25" s="110"/>
      <c r="X25" s="235" t="s">
        <v>888</v>
      </c>
      <c r="Y25" s="235"/>
      <c r="Z25" s="235"/>
      <c r="AA25" s="235"/>
      <c r="AB25" s="235"/>
      <c r="AC25" s="235"/>
      <c r="AD25" s="110"/>
      <c r="AI25" s="139"/>
    </row>
    <row r="26" spans="2:38" ht="26.25" customHeight="1" thickTop="1" thickBot="1" x14ac:dyDescent="0.3">
      <c r="B26" s="137"/>
      <c r="C26" s="15"/>
      <c r="D26" s="148" t="s">
        <v>27</v>
      </c>
      <c r="E26" s="206" t="s">
        <v>32</v>
      </c>
      <c r="F26" s="197">
        <v>0</v>
      </c>
      <c r="G26" s="15"/>
      <c r="I26" s="311" t="s">
        <v>73</v>
      </c>
      <c r="J26" s="312"/>
      <c r="K26" s="312"/>
      <c r="L26" s="312"/>
      <c r="M26" s="313"/>
      <c r="O26" s="113"/>
      <c r="P26" s="241" t="s">
        <v>188</v>
      </c>
      <c r="Q26" s="242"/>
      <c r="R26" s="199">
        <v>0</v>
      </c>
      <c r="S26" s="249"/>
      <c r="T26" s="253"/>
      <c r="U26" s="113"/>
      <c r="W26" s="110"/>
      <c r="X26" s="235"/>
      <c r="Y26" s="235"/>
      <c r="Z26" s="235"/>
      <c r="AA26" s="235"/>
      <c r="AB26" s="235"/>
      <c r="AC26" s="235"/>
      <c r="AD26" s="110"/>
      <c r="AI26" s="139"/>
    </row>
    <row r="27" spans="2:38" ht="19.5" customHeight="1" thickTop="1" x14ac:dyDescent="0.3">
      <c r="B27" s="137"/>
      <c r="C27" s="15"/>
      <c r="D27" s="148" t="s">
        <v>28</v>
      </c>
      <c r="E27" s="206" t="s">
        <v>31</v>
      </c>
      <c r="F27" s="197">
        <v>0</v>
      </c>
      <c r="G27" s="15"/>
      <c r="I27" s="314" t="str">
        <f>IF(E35&gt;I20,"DISPONIBILITAT","DEMANDA")</f>
        <v>DEMANDA</v>
      </c>
      <c r="J27" s="315"/>
      <c r="K27" s="315"/>
      <c r="L27" s="315"/>
      <c r="M27" s="316"/>
      <c r="O27" s="113"/>
      <c r="P27" s="241" t="s">
        <v>195</v>
      </c>
      <c r="Q27" s="242"/>
      <c r="R27" s="352">
        <v>0</v>
      </c>
      <c r="S27" s="244" t="s">
        <v>193</v>
      </c>
      <c r="T27" s="245"/>
      <c r="U27" s="113"/>
      <c r="W27" s="110"/>
      <c r="X27" s="235"/>
      <c r="Y27" s="235"/>
      <c r="Z27" s="235"/>
      <c r="AA27" s="235"/>
      <c r="AB27" s="235"/>
      <c r="AC27" s="235"/>
      <c r="AD27" s="110"/>
      <c r="AI27" s="139"/>
    </row>
    <row r="28" spans="2:38" ht="6" customHeight="1" thickBot="1" x14ac:dyDescent="0.3">
      <c r="B28" s="137"/>
      <c r="C28" s="15"/>
      <c r="D28" s="13"/>
      <c r="E28" s="13"/>
      <c r="F28" s="13"/>
      <c r="G28" s="15"/>
      <c r="I28" s="178"/>
      <c r="J28" s="22"/>
      <c r="K28" s="22"/>
      <c r="L28" s="22"/>
      <c r="M28" s="179"/>
      <c r="O28" s="113"/>
      <c r="P28" s="241"/>
      <c r="Q28" s="242"/>
      <c r="R28" s="352"/>
      <c r="S28" s="246"/>
      <c r="T28" s="247"/>
      <c r="U28" s="113"/>
      <c r="W28" s="110"/>
      <c r="X28" s="230"/>
      <c r="Y28" s="230"/>
      <c r="Z28" s="230"/>
      <c r="AA28" s="230"/>
      <c r="AB28" s="230"/>
      <c r="AC28" s="230"/>
      <c r="AD28" s="110"/>
      <c r="AI28" s="139"/>
    </row>
    <row r="29" spans="2:38" ht="27.95" customHeight="1" thickTop="1" x14ac:dyDescent="0.25">
      <c r="B29" s="137"/>
      <c r="C29" s="15"/>
      <c r="D29" s="13"/>
      <c r="E29" s="18" t="s">
        <v>60</v>
      </c>
      <c r="F29" s="19" t="s">
        <v>71</v>
      </c>
      <c r="G29" s="15"/>
      <c r="I29" s="178"/>
      <c r="J29" s="25"/>
      <c r="K29" s="319" t="s">
        <v>76</v>
      </c>
      <c r="L29" s="319"/>
      <c r="M29" s="179"/>
      <c r="O29" s="113"/>
      <c r="P29" s="346" t="s">
        <v>253</v>
      </c>
      <c r="Q29" s="347"/>
      <c r="R29" s="199">
        <v>0</v>
      </c>
      <c r="S29" s="156" t="s">
        <v>256</v>
      </c>
      <c r="T29" s="204">
        <v>1</v>
      </c>
      <c r="U29" s="113"/>
      <c r="W29" s="110"/>
      <c r="X29" s="357" t="s">
        <v>889</v>
      </c>
      <c r="Y29" s="358"/>
      <c r="Z29" s="358"/>
      <c r="AA29" s="358"/>
      <c r="AB29" s="358"/>
      <c r="AC29" s="358"/>
      <c r="AD29" s="110"/>
      <c r="AI29" s="139"/>
    </row>
    <row r="30" spans="2:38" ht="31.5" x14ac:dyDescent="0.5">
      <c r="B30" s="137"/>
      <c r="C30" s="15"/>
      <c r="D30" s="13"/>
      <c r="E30" s="14">
        <f>IF(E32=0,SUM(F19:F27),E32)</f>
        <v>300</v>
      </c>
      <c r="F30" s="149">
        <f>IF(E32=0,Consum!K19,E32*Consum!K2)</f>
        <v>1211.182133995037</v>
      </c>
      <c r="G30" s="15"/>
      <c r="I30" s="178"/>
      <c r="J30" s="22"/>
      <c r="K30" s="320">
        <f>IF(K36=0,IF(I27="DISPONIBILITAT",ROUNDUP(I20*'Aigua recollida'!H2/1000*1.2,1),IF(I27="DEMANDA",IF(E35&lt;=I20,ROUNDUP(E35*'Aigua recollida'!H2/1000*1.2,1),"-"),"-")),K36)</f>
        <v>55.2</v>
      </c>
      <c r="L30" s="320"/>
      <c r="M30" s="179"/>
      <c r="O30" s="113"/>
      <c r="P30" s="350" t="s">
        <v>254</v>
      </c>
      <c r="Q30" s="92" t="s">
        <v>191</v>
      </c>
      <c r="R30" s="200">
        <v>1</v>
      </c>
      <c r="S30" s="157" t="s">
        <v>196</v>
      </c>
      <c r="T30" s="203">
        <v>0</v>
      </c>
      <c r="U30" s="113"/>
      <c r="W30" s="110"/>
      <c r="X30" s="359" t="s">
        <v>893</v>
      </c>
      <c r="Y30" s="360"/>
      <c r="Z30" s="360"/>
      <c r="AA30" s="360"/>
      <c r="AB30" s="360"/>
      <c r="AC30" s="360"/>
      <c r="AD30" s="110"/>
      <c r="AI30" s="139"/>
    </row>
    <row r="31" spans="2:38" ht="26.25" customHeight="1" thickBot="1" x14ac:dyDescent="0.3">
      <c r="B31" s="137"/>
      <c r="C31" s="15"/>
      <c r="D31" s="13"/>
      <c r="E31" s="77" t="s">
        <v>62</v>
      </c>
      <c r="F31" s="77" t="s">
        <v>56</v>
      </c>
      <c r="G31" s="15"/>
      <c r="I31" s="178"/>
      <c r="J31" s="28"/>
      <c r="K31" s="321" t="s">
        <v>248</v>
      </c>
      <c r="L31" s="321"/>
      <c r="M31" s="179"/>
      <c r="O31" s="113"/>
      <c r="P31" s="351"/>
      <c r="Q31" s="93" t="s">
        <v>192</v>
      </c>
      <c r="R31" s="201">
        <v>0</v>
      </c>
      <c r="S31" s="158" t="s">
        <v>257</v>
      </c>
      <c r="T31" s="202">
        <v>1</v>
      </c>
      <c r="U31" s="113"/>
      <c r="W31" s="110"/>
      <c r="X31" s="360"/>
      <c r="Y31" s="360"/>
      <c r="Z31" s="360"/>
      <c r="AA31" s="360"/>
      <c r="AB31" s="360"/>
      <c r="AC31" s="360"/>
      <c r="AD31" s="110"/>
      <c r="AI31" s="139"/>
    </row>
    <row r="32" spans="2:38" ht="21.75" customHeight="1" thickTop="1" thickBot="1" x14ac:dyDescent="0.3">
      <c r="B32" s="137"/>
      <c r="C32" s="15"/>
      <c r="D32" s="188" t="s">
        <v>57</v>
      </c>
      <c r="E32" s="191">
        <v>0</v>
      </c>
      <c r="F32" s="150"/>
      <c r="G32" s="15"/>
      <c r="I32" s="178"/>
      <c r="J32" s="180"/>
      <c r="K32" s="336">
        <f>IF(AND(K30="-",0),0,IF(AND('Balanç anual'!AQ8&gt;'Balanç anual'!AQ9),'Balanç anual'!AQ9/'Balanç anual'!AQ8,IF(AND('Balanç anual'!AQ9&gt;'Balanç anual'!AQ8),"100","-")))</f>
        <v>0.47602020704879267</v>
      </c>
      <c r="L32" s="336"/>
      <c r="M32" s="179"/>
      <c r="O32" s="113"/>
      <c r="P32" s="343" t="s">
        <v>85</v>
      </c>
      <c r="Q32" s="344"/>
      <c r="R32" s="344"/>
      <c r="S32" s="338" t="s">
        <v>86</v>
      </c>
      <c r="T32" s="160"/>
      <c r="U32" s="113"/>
      <c r="W32" s="110"/>
      <c r="X32" s="360"/>
      <c r="Y32" s="360"/>
      <c r="Z32" s="360"/>
      <c r="AA32" s="360"/>
      <c r="AB32" s="360"/>
      <c r="AC32" s="360"/>
      <c r="AD32" s="110"/>
      <c r="AG32" s="335" t="s">
        <v>245</v>
      </c>
      <c r="AH32" s="335"/>
      <c r="AI32" s="139"/>
    </row>
    <row r="33" spans="2:35" ht="12" customHeight="1" thickTop="1" x14ac:dyDescent="0.25">
      <c r="B33" s="137"/>
      <c r="C33" s="15"/>
      <c r="D33" s="15"/>
      <c r="E33" s="15"/>
      <c r="F33" s="15"/>
      <c r="G33" s="15"/>
      <c r="I33" s="178"/>
      <c r="J33" s="180"/>
      <c r="K33" s="180"/>
      <c r="L33" s="180"/>
      <c r="M33" s="179"/>
      <c r="O33" s="113"/>
      <c r="P33" s="345"/>
      <c r="Q33" s="338"/>
      <c r="R33" s="338"/>
      <c r="S33" s="338"/>
      <c r="T33" s="160"/>
      <c r="U33" s="113"/>
      <c r="W33" s="110"/>
      <c r="X33" s="355" t="s">
        <v>890</v>
      </c>
      <c r="Y33" s="355"/>
      <c r="Z33" s="355"/>
      <c r="AA33" s="355"/>
      <c r="AB33" s="355"/>
      <c r="AC33" s="355"/>
      <c r="AD33" s="110"/>
      <c r="AG33" s="335"/>
      <c r="AH33" s="335"/>
      <c r="AI33" s="139"/>
    </row>
    <row r="34" spans="2:35" ht="24" customHeight="1" x14ac:dyDescent="0.5">
      <c r="B34" s="137"/>
      <c r="C34" s="284"/>
      <c r="D34" s="284"/>
      <c r="E34" s="287" t="s">
        <v>75</v>
      </c>
      <c r="F34" s="287"/>
      <c r="G34" s="287"/>
      <c r="I34" s="322" t="s">
        <v>259</v>
      </c>
      <c r="J34" s="321"/>
      <c r="K34" s="318" t="s">
        <v>247</v>
      </c>
      <c r="L34" s="318"/>
      <c r="M34" s="179"/>
      <c r="O34" s="113"/>
      <c r="P34" s="339">
        <f>Consum!H20</f>
        <v>1.6530710189124076</v>
      </c>
      <c r="Q34" s="340"/>
      <c r="R34" s="340"/>
      <c r="S34" s="29">
        <f>IF(1.2*(15+(S21*3)/0.8)&lt;50,1.2*(15+(S21*3)/0.8),50)</f>
        <v>22.5</v>
      </c>
      <c r="T34" s="160"/>
      <c r="U34" s="113"/>
      <c r="W34" s="110"/>
      <c r="X34" s="355"/>
      <c r="Y34" s="355"/>
      <c r="Z34" s="355"/>
      <c r="AA34" s="355"/>
      <c r="AB34" s="355"/>
      <c r="AC34" s="355"/>
      <c r="AD34" s="110"/>
      <c r="AI34" s="139"/>
    </row>
    <row r="35" spans="2:35" ht="28.5" customHeight="1" x14ac:dyDescent="0.5">
      <c r="B35" s="137"/>
      <c r="C35" s="284"/>
      <c r="D35" s="284"/>
      <c r="E35" s="291">
        <f>E11+F30</f>
        <v>1533.182133995037</v>
      </c>
      <c r="F35" s="291"/>
      <c r="G35" s="291"/>
      <c r="I35" s="323">
        <f>IFERROR(Z11/Z7,"-")</f>
        <v>1</v>
      </c>
      <c r="J35" s="324"/>
      <c r="K35" s="317">
        <f>'Balanç anual'!AP11</f>
        <v>30.233670252951914</v>
      </c>
      <c r="L35" s="317"/>
      <c r="M35" s="179"/>
      <c r="O35" s="113"/>
      <c r="P35" s="341" t="s">
        <v>87</v>
      </c>
      <c r="Q35" s="342"/>
      <c r="R35" s="342"/>
      <c r="S35" s="133" t="s">
        <v>88</v>
      </c>
      <c r="T35" s="160"/>
      <c r="U35" s="113"/>
      <c r="W35" s="110"/>
      <c r="X35" s="355"/>
      <c r="Y35" s="355"/>
      <c r="Z35" s="355"/>
      <c r="AA35" s="355"/>
      <c r="AB35" s="355"/>
      <c r="AC35" s="355"/>
      <c r="AD35" s="110"/>
      <c r="AI35" s="139"/>
    </row>
    <row r="36" spans="2:35" ht="14.25" customHeight="1" thickBot="1" x14ac:dyDescent="0.3">
      <c r="B36" s="137"/>
      <c r="C36" s="274"/>
      <c r="D36" s="274"/>
      <c r="E36" s="275" t="s">
        <v>56</v>
      </c>
      <c r="F36" s="275"/>
      <c r="G36" s="275"/>
      <c r="I36" s="307" t="s">
        <v>57</v>
      </c>
      <c r="J36" s="307"/>
      <c r="K36" s="356">
        <v>0</v>
      </c>
      <c r="L36" s="356"/>
      <c r="M36" s="228"/>
      <c r="O36" s="113"/>
      <c r="P36" s="292" t="s">
        <v>92</v>
      </c>
      <c r="Q36" s="293"/>
      <c r="R36" s="90"/>
      <c r="S36" s="91" t="str">
        <f>CONCATENATE("PE40 DN",VLOOKUP(1,Consum!F25:H30,3,FALSE)," PN10")</f>
        <v>PE40 DN25 PN10</v>
      </c>
      <c r="T36" s="161"/>
      <c r="U36" s="113"/>
      <c r="W36" s="110"/>
      <c r="X36" s="355"/>
      <c r="Y36" s="355"/>
      <c r="Z36" s="355"/>
      <c r="AA36" s="355"/>
      <c r="AB36" s="355"/>
      <c r="AC36" s="355"/>
      <c r="AD36" s="110"/>
      <c r="AI36" s="139"/>
    </row>
    <row r="37" spans="2:35" ht="2.25" customHeight="1" thickTop="1" x14ac:dyDescent="0.25">
      <c r="B37" s="137"/>
      <c r="K37">
        <v>8</v>
      </c>
      <c r="O37" s="113"/>
      <c r="P37" s="111"/>
      <c r="Q37" s="112"/>
      <c r="R37" s="111"/>
      <c r="S37" s="112"/>
      <c r="T37" s="111"/>
      <c r="U37" s="113"/>
      <c r="W37" s="110"/>
      <c r="X37" s="110"/>
      <c r="Y37" s="110"/>
      <c r="Z37" s="110"/>
      <c r="AA37" s="110"/>
      <c r="AB37" s="110"/>
      <c r="AC37" s="110"/>
      <c r="AD37" s="110"/>
      <c r="AI37" s="139"/>
    </row>
    <row r="38" spans="2:35" ht="13.5" customHeight="1" thickBot="1" x14ac:dyDescent="0.3">
      <c r="B38" s="151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3"/>
      <c r="Q38" s="152"/>
      <c r="R38" s="153"/>
      <c r="S38" s="154"/>
      <c r="T38" s="153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5"/>
    </row>
    <row r="39" spans="2:35" ht="6" customHeight="1" thickTop="1" x14ac:dyDescent="0.25">
      <c r="P39" s="13"/>
      <c r="Q39" s="13"/>
      <c r="R39" s="13"/>
      <c r="S39" s="13"/>
      <c r="T39" s="13"/>
    </row>
    <row r="40" spans="2:35" ht="18.75" x14ac:dyDescent="0.3">
      <c r="D40" s="232" t="s">
        <v>891</v>
      </c>
      <c r="P40" s="13"/>
      <c r="Q40" s="76"/>
      <c r="R40" s="13"/>
      <c r="S40" s="77"/>
      <c r="T40" s="13"/>
    </row>
    <row r="41" spans="2:35" x14ac:dyDescent="0.25">
      <c r="P41" s="13"/>
      <c r="R41" s="13"/>
      <c r="T41" s="13"/>
    </row>
    <row r="42" spans="2:35" x14ac:dyDescent="0.25">
      <c r="P42" s="13"/>
      <c r="R42" s="13"/>
      <c r="T42" s="13"/>
    </row>
    <row r="43" spans="2:35" x14ac:dyDescent="0.25">
      <c r="P43" s="13"/>
      <c r="R43" s="13"/>
      <c r="T43" s="13"/>
    </row>
    <row r="44" spans="2:35" x14ac:dyDescent="0.25">
      <c r="X44" s="62"/>
    </row>
  </sheetData>
  <sheetProtection algorithmName="SHA-512" hashValue="4nSD2t/eJeu+eAYf5Em2jdVsr0SUQL7rzanFFb/XxN0gYbIyxa+toXVHQWC5IL8kaRv9X7TV5UXIi3AMvQfTkQ==" saltValue="mud52boOiXNghGyat2yeoA==" spinCount="100000" sheet="1" formatCells="0" formatColumns="0" formatRows="0" insertColumns="0" insertRows="0" insertHyperlinks="0" deleteColumns="0" deleteRows="0" sort="0" autoFilter="0" pivotTables="0"/>
  <dataConsolidate/>
  <mergeCells count="102">
    <mergeCell ref="AG32:AH33"/>
    <mergeCell ref="K32:L32"/>
    <mergeCell ref="X19:AA19"/>
    <mergeCell ref="S32:S33"/>
    <mergeCell ref="P34:R34"/>
    <mergeCell ref="P35:R35"/>
    <mergeCell ref="P32:R33"/>
    <mergeCell ref="P29:Q29"/>
    <mergeCell ref="P26:Q26"/>
    <mergeCell ref="P25:Q25"/>
    <mergeCell ref="P23:Q24"/>
    <mergeCell ref="P30:P31"/>
    <mergeCell ref="R27:R28"/>
    <mergeCell ref="X23:AC24"/>
    <mergeCell ref="X33:AC36"/>
    <mergeCell ref="K36:L36"/>
    <mergeCell ref="X29:AC29"/>
    <mergeCell ref="X30:AC32"/>
    <mergeCell ref="AB19:AC19"/>
    <mergeCell ref="X20:AB20"/>
    <mergeCell ref="X21:AC22"/>
    <mergeCell ref="R23:R24"/>
    <mergeCell ref="Q21:R21"/>
    <mergeCell ref="I4:I5"/>
    <mergeCell ref="J5:K5"/>
    <mergeCell ref="I36:J36"/>
    <mergeCell ref="I25:M25"/>
    <mergeCell ref="I26:M26"/>
    <mergeCell ref="I27:M27"/>
    <mergeCell ref="K35:L35"/>
    <mergeCell ref="K34:L34"/>
    <mergeCell ref="K29:L29"/>
    <mergeCell ref="K30:L30"/>
    <mergeCell ref="K31:L31"/>
    <mergeCell ref="I34:J34"/>
    <mergeCell ref="I35:J35"/>
    <mergeCell ref="I22:L22"/>
    <mergeCell ref="I17:L17"/>
    <mergeCell ref="I8:J8"/>
    <mergeCell ref="I9:J9"/>
    <mergeCell ref="I10:J10"/>
    <mergeCell ref="K8:L8"/>
    <mergeCell ref="K9:L9"/>
    <mergeCell ref="K10:L10"/>
    <mergeCell ref="I23:M23"/>
    <mergeCell ref="C36:D36"/>
    <mergeCell ref="E36:G36"/>
    <mergeCell ref="P3:T3"/>
    <mergeCell ref="P5:T5"/>
    <mergeCell ref="Q12:Q13"/>
    <mergeCell ref="D5:F5"/>
    <mergeCell ref="D17:F17"/>
    <mergeCell ref="C3:G3"/>
    <mergeCell ref="C34:D34"/>
    <mergeCell ref="C35:D35"/>
    <mergeCell ref="D19:D20"/>
    <mergeCell ref="F19:F20"/>
    <mergeCell ref="E34:G34"/>
    <mergeCell ref="I3:M3"/>
    <mergeCell ref="E35:G35"/>
    <mergeCell ref="P36:Q36"/>
    <mergeCell ref="L4:M5"/>
    <mergeCell ref="I18:L19"/>
    <mergeCell ref="I20:L21"/>
    <mergeCell ref="C23:C24"/>
    <mergeCell ref="D23:D24"/>
    <mergeCell ref="E23:E24"/>
    <mergeCell ref="F23:F24"/>
    <mergeCell ref="G23:G24"/>
    <mergeCell ref="W3:AD3"/>
    <mergeCell ref="Z5:AC5"/>
    <mergeCell ref="Z6:AC6"/>
    <mergeCell ref="Z7:AC8"/>
    <mergeCell ref="Z11:AC13"/>
    <mergeCell ref="X11:Y13"/>
    <mergeCell ref="X9:Y10"/>
    <mergeCell ref="Z9:AC10"/>
    <mergeCell ref="X17:AC17"/>
    <mergeCell ref="X18:AC18"/>
    <mergeCell ref="X25:AC27"/>
    <mergeCell ref="P6:Q6"/>
    <mergeCell ref="R6:T6"/>
    <mergeCell ref="S22:T22"/>
    <mergeCell ref="P27:Q28"/>
    <mergeCell ref="P22:R22"/>
    <mergeCell ref="S27:T28"/>
    <mergeCell ref="S25:S26"/>
    <mergeCell ref="R10:T10"/>
    <mergeCell ref="R13:T13"/>
    <mergeCell ref="R14:T14"/>
    <mergeCell ref="R15:T15"/>
    <mergeCell ref="R16:T16"/>
    <mergeCell ref="T25:T26"/>
    <mergeCell ref="R12:T12"/>
    <mergeCell ref="P14:P17"/>
    <mergeCell ref="P12:P13"/>
    <mergeCell ref="R11:T11"/>
    <mergeCell ref="T23:T24"/>
    <mergeCell ref="S23:S24"/>
    <mergeCell ref="Q14:Q17"/>
    <mergeCell ref="P20:T20"/>
    <mergeCell ref="R17:T17"/>
  </mergeCells>
  <conditionalFormatting sqref="D4:F4 C4:C23 G4:G23 D14:F16 C25:C32 G25:G32 C33:G36">
    <cfRule type="expression" dxfId="41" priority="105">
      <formula>$E$35&gt;$I$20</formula>
    </cfRule>
  </conditionalFormatting>
  <conditionalFormatting sqref="D6:F12">
    <cfRule type="expression" dxfId="40" priority="101">
      <formula>$E$11&gt;0</formula>
    </cfRule>
    <cfRule type="expression" dxfId="39" priority="102">
      <formula>$E$11=0</formula>
    </cfRule>
  </conditionalFormatting>
  <conditionalFormatting sqref="D18:F19 D21:F23 X25 D25:F27">
    <cfRule type="expression" dxfId="38" priority="96">
      <formula>$E$32&gt;0</formula>
    </cfRule>
  </conditionalFormatting>
  <conditionalFormatting sqref="D18:F19 D21:F23 X25 D25:F31">
    <cfRule type="expression" dxfId="37" priority="97">
      <formula>$E$30&gt;0</formula>
    </cfRule>
    <cfRule type="expression" dxfId="36" priority="98">
      <formula>$E$30=0</formula>
    </cfRule>
  </conditionalFormatting>
  <conditionalFormatting sqref="E20">
    <cfRule type="expression" dxfId="35" priority="42">
      <formula>$E$32&gt;0</formula>
    </cfRule>
    <cfRule type="expression" dxfId="34" priority="43">
      <formula>$E$30&gt;0</formula>
    </cfRule>
    <cfRule type="expression" dxfId="33" priority="44">
      <formula>$E$30=0</formula>
    </cfRule>
  </conditionalFormatting>
  <conditionalFormatting sqref="F6:F12">
    <cfRule type="expression" dxfId="32" priority="99">
      <formula>$E$13&gt;0</formula>
    </cfRule>
  </conditionalFormatting>
  <conditionalFormatting sqref="I23:M23">
    <cfRule type="expression" dxfId="31" priority="106">
      <formula>$J$5="Personalitzat"</formula>
    </cfRule>
  </conditionalFormatting>
  <conditionalFormatting sqref="P6 P7:T8 Q13:Q17 R6 T9 R11 T11 P4">
    <cfRule type="expression" dxfId="30" priority="103">
      <formula>$Q$12&gt;1</formula>
    </cfRule>
    <cfRule type="expression" dxfId="29" priority="104">
      <formula>$Q$12&lt;0.5</formula>
    </cfRule>
  </conditionalFormatting>
  <conditionalFormatting sqref="P14:P16">
    <cfRule type="expression" dxfId="28" priority="79">
      <formula>$Q$12&gt;1</formula>
    </cfRule>
    <cfRule type="expression" dxfId="27" priority="80">
      <formula>$Q$12&lt;0.5</formula>
    </cfRule>
  </conditionalFormatting>
  <conditionalFormatting sqref="P6:Q18">
    <cfRule type="expression" dxfId="26" priority="67">
      <formula>IF($P$5="DESINFECCIÓ AMB HIPOCLORIT",FALSE,TRUE)</formula>
    </cfRule>
    <cfRule type="expression" dxfId="25" priority="45">
      <formula>IF($P$5="DESINFECCIÓ AMB HIPOCLORIT",FALSE,TRUE)</formula>
    </cfRule>
  </conditionalFormatting>
  <conditionalFormatting sqref="P9:Q12">
    <cfRule type="expression" dxfId="24" priority="74">
      <formula>$Q$12&lt;0.5</formula>
    </cfRule>
    <cfRule type="expression" dxfId="23" priority="73">
      <formula>$Q$12&gt;1</formula>
    </cfRule>
  </conditionalFormatting>
  <conditionalFormatting sqref="P6:T18">
    <cfRule type="expression" dxfId="22" priority="40">
      <formula>$E$11=0</formula>
    </cfRule>
  </conditionalFormatting>
  <conditionalFormatting sqref="P18:T19">
    <cfRule type="expression" dxfId="21" priority="78">
      <formula>$Q$12&lt;0.5</formula>
    </cfRule>
    <cfRule type="expression" dxfId="20" priority="77">
      <formula>$Q$12&gt;1</formula>
    </cfRule>
  </conditionalFormatting>
  <conditionalFormatting sqref="R10">
    <cfRule type="expression" dxfId="19" priority="60">
      <formula>IF($P$5="DESINFECCIÓ PER RAJOS UV",FALSE,TRUE)</formula>
    </cfRule>
  </conditionalFormatting>
  <conditionalFormatting sqref="R12">
    <cfRule type="expression" dxfId="18" priority="59">
      <formula>$Q$12&lt;0.5</formula>
    </cfRule>
    <cfRule type="expression" dxfId="17" priority="58">
      <formula>$Q$12&gt;1</formula>
    </cfRule>
  </conditionalFormatting>
  <conditionalFormatting sqref="R12:R17">
    <cfRule type="expression" dxfId="16" priority="41">
      <formula>IF($P$5="DESINFECCIÓ PER RAJOS UV",FALSE,TRUE)</formula>
    </cfRule>
  </conditionalFormatting>
  <conditionalFormatting sqref="R6:T18">
    <cfRule type="expression" dxfId="15" priority="66">
      <formula>IF($P$5="DESINFECCIÓ PER RAJOS UV",FALSE,TRUE)</formula>
    </cfRule>
    <cfRule type="expression" dxfId="14" priority="46">
      <formula>IF($P$5="DESINFECCIÓ PER RAJOS UV",FALSE,TRUE)</formula>
    </cfRule>
    <cfRule type="expression" dxfId="13" priority="57">
      <formula>IF($P$5="DESINFECCIÓ PER RAJOS UV",FALSE,TRUE)</formula>
    </cfRule>
  </conditionalFormatting>
  <conditionalFormatting sqref="X21">
    <cfRule type="expression" dxfId="12" priority="20">
      <formula>$E$11&gt;0</formula>
    </cfRule>
    <cfRule type="expression" dxfId="11" priority="21">
      <formula>$E$11=0</formula>
    </cfRule>
  </conditionalFormatting>
  <conditionalFormatting sqref="X33">
    <cfRule type="expression" dxfId="10" priority="3">
      <formula>$E$35&gt;$I$20</formula>
    </cfRule>
  </conditionalFormatting>
  <conditionalFormatting sqref="X28:AC28">
    <cfRule type="expression" dxfId="9" priority="13">
      <formula>$E$30=0</formula>
    </cfRule>
    <cfRule type="expression" dxfId="8" priority="12">
      <formula>$E$30&gt;0</formula>
    </cfRule>
    <cfRule type="expression" dxfId="7" priority="11">
      <formula>$E$32&gt;0</formula>
    </cfRule>
  </conditionalFormatting>
  <hyperlinks>
    <hyperlink ref="P6:Q6" location="'Esquema cloració'!A1" display="Veure esquema de desinfecció amb hipoclorit" xr:uid="{00000000-0004-0000-0000-000001000000}"/>
    <hyperlink ref="R6:T6" location="'Esquema UV'!A1" display="Veure esquema de desinfecció per rajos UV" xr:uid="{00000000-0004-0000-0000-000002000000}"/>
    <hyperlink ref="I23:M23" location="'Dades meteorològiques'!A1" display="Personalitzar dades meteorològiques" xr:uid="{00000000-0004-0000-0000-000003000000}"/>
  </hyperlinks>
  <pageMargins left="0.7" right="0.7" top="0.75" bottom="0.75" header="0.3" footer="0.3"/>
  <pageSetup paperSize="9" orientation="portrait" horizontalDpi="1200" verticalDpi="1200" r:id="rId1"/>
  <drawing r:id="rId2"/>
  <legacyDrawing r:id="rId3"/>
  <controls>
    <mc:AlternateContent xmlns:mc="http://schemas.openxmlformats.org/markup-compatibility/2006">
      <mc:Choice Requires="x14">
        <control shapeId="1063" r:id="rId4" name="CheckBox1">
          <controlPr defaultSize="0" autoLine="0" autoPict="0" linkedCell="Formularis!$C$3" r:id="rId5">
            <anchor moveWithCells="1">
              <from>
                <xdr:col>5</xdr:col>
                <xdr:colOff>47625</xdr:colOff>
                <xdr:row>5</xdr:row>
                <xdr:rowOff>200025</xdr:rowOff>
              </from>
              <to>
                <xdr:col>5</xdr:col>
                <xdr:colOff>1000125</xdr:colOff>
                <xdr:row>6</xdr:row>
                <xdr:rowOff>180975</xdr:rowOff>
              </to>
            </anchor>
          </controlPr>
        </control>
      </mc:Choice>
      <mc:Fallback>
        <control shapeId="1063" r:id="rId4" name="CheckBox1"/>
      </mc:Fallback>
    </mc:AlternateContent>
    <mc:AlternateContent xmlns:mc="http://schemas.openxmlformats.org/markup-compatibility/2006">
      <mc:Choice Requires="x14">
        <control shapeId="1064" r:id="rId6" name="CheckBox2">
          <controlPr defaultSize="0" autoLine="0" autoPict="0" linkedCell="Formularis!$C$4" r:id="rId7">
            <anchor moveWithCells="1">
              <from>
                <xdr:col>5</xdr:col>
                <xdr:colOff>38100</xdr:colOff>
                <xdr:row>6</xdr:row>
                <xdr:rowOff>238125</xdr:rowOff>
              </from>
              <to>
                <xdr:col>5</xdr:col>
                <xdr:colOff>1114425</xdr:colOff>
                <xdr:row>7</xdr:row>
                <xdr:rowOff>66675</xdr:rowOff>
              </to>
            </anchor>
          </controlPr>
        </control>
      </mc:Choice>
      <mc:Fallback>
        <control shapeId="1064" r:id="rId6" name="CheckBox2"/>
      </mc:Fallback>
    </mc:AlternateContent>
    <mc:AlternateContent xmlns:mc="http://schemas.openxmlformats.org/markup-compatibility/2006">
      <mc:Choice Requires="x14">
        <control shapeId="1065" r:id="rId8" name="CheckBox3">
          <controlPr defaultSize="0" autoLine="0" autoPict="0" linkedCell="Formularis!$C$5" r:id="rId9">
            <anchor moveWithCells="1">
              <from>
                <xdr:col>5</xdr:col>
                <xdr:colOff>47625</xdr:colOff>
                <xdr:row>7</xdr:row>
                <xdr:rowOff>85725</xdr:rowOff>
              </from>
              <to>
                <xdr:col>5</xdr:col>
                <xdr:colOff>1047750</xdr:colOff>
                <xdr:row>8</xdr:row>
                <xdr:rowOff>0</xdr:rowOff>
              </to>
            </anchor>
          </controlPr>
        </control>
      </mc:Choice>
      <mc:Fallback>
        <control shapeId="1065" r:id="rId8" name="CheckBox3"/>
      </mc:Fallback>
    </mc:AlternateContent>
    <mc:AlternateContent xmlns:mc="http://schemas.openxmlformats.org/markup-compatibility/2006">
      <mc:Choice Requires="x14">
        <control shapeId="1066" r:id="rId10" name="CheckBox4">
          <controlPr defaultSize="0" autoLine="0" autoPict="0" linkedCell="Formularis!$C$6" r:id="rId11">
            <anchor moveWithCells="1">
              <from>
                <xdr:col>5</xdr:col>
                <xdr:colOff>47625</xdr:colOff>
                <xdr:row>7</xdr:row>
                <xdr:rowOff>333375</xdr:rowOff>
              </from>
              <to>
                <xdr:col>5</xdr:col>
                <xdr:colOff>1009650</xdr:colOff>
                <xdr:row>8</xdr:row>
                <xdr:rowOff>276225</xdr:rowOff>
              </to>
            </anchor>
          </controlPr>
        </control>
      </mc:Choice>
      <mc:Fallback>
        <control shapeId="1066" r:id="rId10" name="CheckBox4"/>
      </mc:Fallback>
    </mc:AlternateContent>
    <mc:AlternateContent xmlns:mc="http://schemas.openxmlformats.org/markup-compatibility/2006">
      <mc:Choice Requires="x14">
        <control shapeId="1067" r:id="rId12" name="CheckBox5">
          <controlPr defaultSize="0" autoLine="0" autoPict="0" linkedCell="Formularis!$C$7" r:id="rId13">
            <anchor moveWithCells="1">
              <from>
                <xdr:col>5</xdr:col>
                <xdr:colOff>47625</xdr:colOff>
                <xdr:row>8</xdr:row>
                <xdr:rowOff>276225</xdr:rowOff>
              </from>
              <to>
                <xdr:col>5</xdr:col>
                <xdr:colOff>1057275</xdr:colOff>
                <xdr:row>9</xdr:row>
                <xdr:rowOff>152400</xdr:rowOff>
              </to>
            </anchor>
          </controlPr>
        </control>
      </mc:Choice>
      <mc:Fallback>
        <control shapeId="1067" r:id="rId12" name="CheckBox5"/>
      </mc:Fallback>
    </mc:AlternateContent>
    <mc:AlternateContent xmlns:mc="http://schemas.openxmlformats.org/markup-compatibility/2006">
      <mc:Choice Requires="x14">
        <control shapeId="1068" r:id="rId14" name="CheckBox6">
          <controlPr defaultSize="0" autoLine="0" autoPict="0" linkedCell="Formularis!$C$8" r:id="rId15">
            <anchor moveWithCells="1">
              <from>
                <xdr:col>5</xdr:col>
                <xdr:colOff>47625</xdr:colOff>
                <xdr:row>9</xdr:row>
                <xdr:rowOff>171450</xdr:rowOff>
              </from>
              <to>
                <xdr:col>5</xdr:col>
                <xdr:colOff>914400</xdr:colOff>
                <xdr:row>10</xdr:row>
                <xdr:rowOff>38100</xdr:rowOff>
              </to>
            </anchor>
          </controlPr>
        </control>
      </mc:Choice>
      <mc:Fallback>
        <control shapeId="1068" r:id="rId14" name="CheckBox6"/>
      </mc:Fallback>
    </mc:AlternateContent>
    <mc:AlternateContent xmlns:mc="http://schemas.openxmlformats.org/markup-compatibility/2006">
      <mc:Choice Requires="x14">
        <control shapeId="1069" r:id="rId16" name="CheckBox7">
          <controlPr defaultSize="0" autoLine="0" autoPict="0" linkedCell="Formularis!$C$9" r:id="rId17">
            <anchor moveWithCells="1">
              <from>
                <xdr:col>5</xdr:col>
                <xdr:colOff>47625</xdr:colOff>
                <xdr:row>10</xdr:row>
                <xdr:rowOff>47625</xdr:rowOff>
              </from>
              <to>
                <xdr:col>5</xdr:col>
                <xdr:colOff>1143000</xdr:colOff>
                <xdr:row>10</xdr:row>
                <xdr:rowOff>314325</xdr:rowOff>
              </to>
            </anchor>
          </controlPr>
        </control>
      </mc:Choice>
      <mc:Fallback>
        <control shapeId="1069" r:id="rId16" name="CheckBox7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showInputMessage="1" showErrorMessage="1" xr:uid="{00000000-0002-0000-0000-000000000000}">
          <x14:formula1>
            <xm:f>Consum!$J$14:$J$17</xm:f>
          </x14:formula1>
          <xm:sqref>E19:E27</xm:sqref>
        </x14:dataValidation>
        <x14:dataValidation type="list" allowBlank="1" showInputMessage="1" showErrorMessage="1" xr:uid="{00000000-0002-0000-0000-000001000000}">
          <x14:formula1>
            <xm:f>Formularis!$E$7:$E$8</xm:f>
          </x14:formula1>
          <xm:sqref>P4 P5:T5</xm:sqref>
        </x14:dataValidation>
        <x14:dataValidation type="list" allowBlank="1" showInputMessage="1" showErrorMessage="1" xr:uid="{B9C43F9E-FEF7-4D7F-AE12-A70FD5E62406}">
          <x14:formula1>
            <xm:f>'Aigua recollida'!$A$22:$A$27</xm:f>
          </x14:formula1>
          <xm:sqref>AL9 J5:K5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/>
  <dimension ref="B2:L31"/>
  <sheetViews>
    <sheetView workbookViewId="0">
      <selection activeCell="N2" sqref="N2:O3"/>
    </sheetView>
  </sheetViews>
  <sheetFormatPr defaultColWidth="11.42578125" defaultRowHeight="15" x14ac:dyDescent="0.25"/>
  <cols>
    <col min="2" max="2" width="17.85546875" bestFit="1" customWidth="1"/>
    <col min="3" max="3" width="14" customWidth="1"/>
    <col min="5" max="6" width="17.85546875" bestFit="1" customWidth="1"/>
    <col min="7" max="8" width="18.28515625" bestFit="1" customWidth="1"/>
    <col min="9" max="9" width="14.85546875" customWidth="1"/>
    <col min="10" max="10" width="20.5703125" bestFit="1" customWidth="1"/>
    <col min="11" max="11" width="12.140625" customWidth="1"/>
  </cols>
  <sheetData>
    <row r="2" spans="2:12" x14ac:dyDescent="0.25">
      <c r="B2" s="1" t="s">
        <v>8</v>
      </c>
      <c r="C2" s="1" t="s">
        <v>0</v>
      </c>
      <c r="F2" s="1" t="s">
        <v>10</v>
      </c>
      <c r="G2" s="1" t="s">
        <v>9</v>
      </c>
      <c r="J2" s="73" t="s">
        <v>261</v>
      </c>
      <c r="K2" s="183">
        <v>3</v>
      </c>
    </row>
    <row r="3" spans="2:12" x14ac:dyDescent="0.25">
      <c r="B3" s="2" t="s">
        <v>1</v>
      </c>
      <c r="C3" s="2">
        <f>IF(C11=0,43,19.35)</f>
        <v>43</v>
      </c>
      <c r="D3">
        <f>IF(Formularis!C3=TRUE(),1,0)</f>
        <v>1</v>
      </c>
      <c r="F3" s="2" t="s">
        <v>11</v>
      </c>
      <c r="G3" s="2">
        <v>0.05</v>
      </c>
    </row>
    <row r="4" spans="2:12" x14ac:dyDescent="0.25">
      <c r="B4" s="2" t="s">
        <v>2</v>
      </c>
      <c r="C4" s="2">
        <f>IF(C12=0,27,0)</f>
        <v>27</v>
      </c>
      <c r="D4">
        <f>IF(Formularis!C4=TRUE(),1,0)</f>
        <v>1</v>
      </c>
      <c r="F4" s="2" t="s">
        <v>3</v>
      </c>
      <c r="G4" s="2">
        <v>0.1</v>
      </c>
      <c r="H4">
        <f>APLICATIU!R23</f>
        <v>1</v>
      </c>
      <c r="J4" s="1" t="s">
        <v>20</v>
      </c>
      <c r="K4" s="1" t="s">
        <v>21</v>
      </c>
    </row>
    <row r="5" spans="2:12" x14ac:dyDescent="0.25">
      <c r="B5" s="2" t="s">
        <v>3</v>
      </c>
      <c r="C5" s="2">
        <f>IF(C10=0,23,11.5)</f>
        <v>23</v>
      </c>
      <c r="D5">
        <f>IF(Formularis!C5=TRUE(),1,0)</f>
        <v>1</v>
      </c>
      <c r="F5" s="2" t="s">
        <v>1</v>
      </c>
      <c r="G5" s="2">
        <v>0.2</v>
      </c>
      <c r="H5">
        <f>APLICATIU!R25</f>
        <v>0</v>
      </c>
      <c r="J5" s="2" t="s">
        <v>22</v>
      </c>
      <c r="K5" s="2">
        <v>0.3</v>
      </c>
    </row>
    <row r="6" spans="2:12" x14ac:dyDescent="0.25">
      <c r="B6" s="2" t="s">
        <v>7</v>
      </c>
      <c r="C6" s="2">
        <f>IF(C10=0,47,23.5)</f>
        <v>47</v>
      </c>
      <c r="D6">
        <f>IF(Formularis!C6=TRUE(),1,0)</f>
        <v>1</v>
      </c>
      <c r="F6" s="2" t="s">
        <v>19</v>
      </c>
      <c r="G6" s="2">
        <v>0.3</v>
      </c>
      <c r="H6">
        <f>APLICATIU!R27</f>
        <v>0</v>
      </c>
      <c r="J6" s="2" t="s">
        <v>23</v>
      </c>
      <c r="K6" s="2">
        <v>0.7</v>
      </c>
    </row>
    <row r="7" spans="2:12" x14ac:dyDescent="0.25">
      <c r="B7" s="2" t="s">
        <v>4</v>
      </c>
      <c r="C7" s="2">
        <v>16</v>
      </c>
      <c r="D7">
        <f>IF(Formularis!C7=TRUE(),1,0)</f>
        <v>1</v>
      </c>
      <c r="F7" s="2" t="s">
        <v>12</v>
      </c>
      <c r="G7" s="2">
        <v>0.2</v>
      </c>
      <c r="H7">
        <f>APLICATIU!R26</f>
        <v>0</v>
      </c>
      <c r="J7" s="2" t="s">
        <v>24</v>
      </c>
      <c r="K7" s="2">
        <v>0.8</v>
      </c>
    </row>
    <row r="8" spans="2:12" x14ac:dyDescent="0.25">
      <c r="B8" s="2" t="s">
        <v>5</v>
      </c>
      <c r="C8" s="2">
        <v>5</v>
      </c>
      <c r="D8">
        <f>IF(Formularis!C8=TRUE(),1,0)</f>
        <v>1</v>
      </c>
      <c r="F8" s="2" t="s">
        <v>13</v>
      </c>
      <c r="G8" s="2">
        <v>0.1</v>
      </c>
      <c r="H8">
        <f>APLICATIU!R29</f>
        <v>0</v>
      </c>
      <c r="J8" s="2" t="s">
        <v>25</v>
      </c>
      <c r="K8" s="2">
        <v>0.8</v>
      </c>
    </row>
    <row r="9" spans="2:12" x14ac:dyDescent="0.25">
      <c r="B9" s="2" t="s">
        <v>6</v>
      </c>
      <c r="C9" s="2">
        <v>7</v>
      </c>
      <c r="D9">
        <f>IF(Formularis!C9=TRUE(),1,0)</f>
        <v>0</v>
      </c>
      <c r="F9" s="2" t="s">
        <v>14</v>
      </c>
      <c r="G9" s="2">
        <v>0.1</v>
      </c>
      <c r="H9">
        <f>APLICATIU!R30</f>
        <v>1</v>
      </c>
      <c r="J9" s="2" t="s">
        <v>26</v>
      </c>
      <c r="K9" s="2">
        <v>1</v>
      </c>
    </row>
    <row r="10" spans="2:12" x14ac:dyDescent="0.25">
      <c r="B10" s="185" t="s">
        <v>262</v>
      </c>
      <c r="C10">
        <f>IF(Formularis!C11=TRUE(),1,0)</f>
        <v>0</v>
      </c>
      <c r="F10" s="2" t="s">
        <v>15</v>
      </c>
      <c r="G10" s="2">
        <v>1.25</v>
      </c>
      <c r="H10">
        <f>APLICATIU!R31</f>
        <v>0</v>
      </c>
      <c r="J10" s="2" t="s">
        <v>27</v>
      </c>
      <c r="K10" s="2">
        <v>1</v>
      </c>
    </row>
    <row r="11" spans="2:12" x14ac:dyDescent="0.25">
      <c r="B11" s="185" t="s">
        <v>263</v>
      </c>
      <c r="C11">
        <f>IF(Formularis!C12=TRUE(),1,0)</f>
        <v>0</v>
      </c>
      <c r="F11" s="2" t="s">
        <v>16</v>
      </c>
      <c r="G11" s="2">
        <v>0.2</v>
      </c>
      <c r="H11">
        <f>APLICATIU!T23</f>
        <v>1</v>
      </c>
      <c r="J11" s="2" t="s">
        <v>28</v>
      </c>
      <c r="K11" s="2">
        <v>1</v>
      </c>
    </row>
    <row r="12" spans="2:12" x14ac:dyDescent="0.25">
      <c r="B12" s="185" t="s">
        <v>264</v>
      </c>
      <c r="C12">
        <f>IF(Formularis!C13=TRUE(),1,0)</f>
        <v>0</v>
      </c>
      <c r="F12" s="2" t="s">
        <v>6</v>
      </c>
      <c r="G12" s="2">
        <v>0.15</v>
      </c>
      <c r="H12">
        <f>APLICATIU!T25</f>
        <v>0</v>
      </c>
    </row>
    <row r="13" spans="2:12" x14ac:dyDescent="0.25">
      <c r="F13" s="2" t="s">
        <v>17</v>
      </c>
      <c r="G13" s="2">
        <v>0.2</v>
      </c>
      <c r="H13">
        <f>APLICATIU!T29</f>
        <v>1</v>
      </c>
      <c r="J13" s="1" t="s">
        <v>29</v>
      </c>
      <c r="K13" s="1" t="s">
        <v>30</v>
      </c>
      <c r="L13" s="73"/>
    </row>
    <row r="14" spans="2:12" x14ac:dyDescent="0.25">
      <c r="F14" s="2" t="s">
        <v>4</v>
      </c>
      <c r="G14" s="2">
        <v>0.2</v>
      </c>
      <c r="H14">
        <f>APLICATIU!T30</f>
        <v>0</v>
      </c>
      <c r="J14" s="2" t="s">
        <v>31</v>
      </c>
      <c r="K14" s="4">
        <v>0.65</v>
      </c>
      <c r="L14" s="63"/>
    </row>
    <row r="15" spans="2:12" x14ac:dyDescent="0.25">
      <c r="F15" s="2" t="s">
        <v>18</v>
      </c>
      <c r="G15" s="2">
        <v>0.15</v>
      </c>
      <c r="H15">
        <f>APLICATIU!T31</f>
        <v>1</v>
      </c>
      <c r="J15" s="2" t="s">
        <v>32</v>
      </c>
      <c r="K15" s="4">
        <v>0.75</v>
      </c>
      <c r="L15" s="72"/>
    </row>
    <row r="16" spans="2:12" x14ac:dyDescent="0.25">
      <c r="B16" s="1" t="s">
        <v>52</v>
      </c>
      <c r="C16" s="8">
        <f>SUMPRODUCT(C3:C9,D3:D9)</f>
        <v>161</v>
      </c>
      <c r="J16" s="2" t="s">
        <v>33</v>
      </c>
      <c r="K16" s="4">
        <v>0.8</v>
      </c>
      <c r="L16" s="63"/>
    </row>
    <row r="17" spans="2:11" x14ac:dyDescent="0.25">
      <c r="B17" s="1" t="s">
        <v>64</v>
      </c>
      <c r="C17" s="2">
        <f>APLICATIU!E7</f>
        <v>2</v>
      </c>
    </row>
    <row r="18" spans="2:11" x14ac:dyDescent="0.25">
      <c r="B18" s="1" t="s">
        <v>65</v>
      </c>
      <c r="C18" s="4">
        <f>APLICATIU!E9</f>
        <v>0.8</v>
      </c>
      <c r="G18" s="1" t="s">
        <v>84</v>
      </c>
      <c r="H18" s="30">
        <f>SUMPRODUCT(G4:G15,H4:H15)</f>
        <v>0.75000000000000011</v>
      </c>
    </row>
    <row r="19" spans="2:11" x14ac:dyDescent="0.25">
      <c r="B19" s="1" t="s">
        <v>66</v>
      </c>
      <c r="C19" s="17">
        <f>C16*C17*C18</f>
        <v>257.60000000000002</v>
      </c>
      <c r="G19" s="1" t="s">
        <v>83</v>
      </c>
      <c r="H19" s="30">
        <f>IF(H10=0,0.682*H18^0.45-0.14,1.7*H18^0.21-0.7)</f>
        <v>0.45918639414233542</v>
      </c>
      <c r="J19" s="1" t="s">
        <v>175</v>
      </c>
      <c r="K19" s="12">
        <f>'Necessitats de reg'!N77</f>
        <v>1211.182133995037</v>
      </c>
    </row>
    <row r="20" spans="2:11" x14ac:dyDescent="0.25">
      <c r="H20" s="31">
        <f>H19*3.6</f>
        <v>1.6530710189124076</v>
      </c>
      <c r="J20" s="73"/>
      <c r="K20" s="63"/>
    </row>
    <row r="21" spans="2:11" x14ac:dyDescent="0.25">
      <c r="G21" s="1" t="s">
        <v>91</v>
      </c>
      <c r="H21" s="32">
        <f>SQRT(4*(H20/3600)/(2*PI()))*1000</f>
        <v>17.097576954445451</v>
      </c>
      <c r="J21" s="73"/>
      <c r="K21" s="63"/>
    </row>
    <row r="22" spans="2:11" x14ac:dyDescent="0.25">
      <c r="J22" s="73"/>
      <c r="K22" s="74"/>
    </row>
    <row r="23" spans="2:11" x14ac:dyDescent="0.25">
      <c r="J23" s="73"/>
      <c r="K23" s="75"/>
    </row>
    <row r="24" spans="2:11" x14ac:dyDescent="0.25">
      <c r="G24" s="1" t="s">
        <v>90</v>
      </c>
      <c r="H24" s="1" t="s">
        <v>89</v>
      </c>
      <c r="J24" s="73"/>
      <c r="K24" s="64"/>
    </row>
    <row r="25" spans="2:11" x14ac:dyDescent="0.25">
      <c r="F25">
        <f>IF(H21&lt;=G25,1,0)</f>
        <v>0</v>
      </c>
      <c r="G25" s="2">
        <v>14</v>
      </c>
      <c r="H25" s="2">
        <v>20</v>
      </c>
      <c r="J25" s="73"/>
      <c r="K25" s="75"/>
    </row>
    <row r="26" spans="2:11" x14ac:dyDescent="0.25">
      <c r="F26">
        <f>IF(AND($H$21&lt;=G26,$H$21&gt;G25),1,0)</f>
        <v>1</v>
      </c>
      <c r="G26" s="2">
        <v>18</v>
      </c>
      <c r="H26" s="2">
        <v>25</v>
      </c>
    </row>
    <row r="27" spans="2:11" x14ac:dyDescent="0.25">
      <c r="F27">
        <f t="shared" ref="F27:F31" si="0">IF(AND($H$21&lt;=G27,$H$21&gt;G26),1,0)</f>
        <v>0</v>
      </c>
      <c r="G27" s="2">
        <v>23.2</v>
      </c>
      <c r="H27" s="2">
        <v>32</v>
      </c>
    </row>
    <row r="28" spans="2:11" x14ac:dyDescent="0.25">
      <c r="F28">
        <f t="shared" si="0"/>
        <v>0</v>
      </c>
      <c r="G28" s="2">
        <v>29</v>
      </c>
      <c r="H28" s="2">
        <v>40</v>
      </c>
    </row>
    <row r="29" spans="2:11" x14ac:dyDescent="0.25">
      <c r="F29">
        <f t="shared" si="0"/>
        <v>0</v>
      </c>
      <c r="G29" s="2">
        <v>36.200000000000003</v>
      </c>
      <c r="H29" s="2">
        <v>50</v>
      </c>
    </row>
    <row r="30" spans="2:11" x14ac:dyDescent="0.25">
      <c r="F30">
        <f t="shared" si="0"/>
        <v>0</v>
      </c>
      <c r="G30" s="2">
        <v>45.8</v>
      </c>
      <c r="H30" s="2">
        <v>63</v>
      </c>
    </row>
    <row r="31" spans="2:11" x14ac:dyDescent="0.25">
      <c r="F31">
        <f t="shared" si="0"/>
        <v>0</v>
      </c>
      <c r="G31" s="2">
        <v>55.4</v>
      </c>
      <c r="H31" s="2">
        <v>75</v>
      </c>
    </row>
  </sheetData>
  <sheetProtection algorithmName="SHA-512" hashValue="Xai1hbqE2diIZNUXCewLKhWCd9ilcQQoxkKCOa5uDPx22Xy1fCOVhzfreQCtMiq/ufOR5/2e53G1RYW9yNnWLg==" saltValue="fYYRTJdwszA/sHAY09K5dQ==" spinCount="100000"/>
  <pageMargins left="0.7" right="0.7" top="0.75" bottom="0.75" header="0.3" footer="0.3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2:S79"/>
  <sheetViews>
    <sheetView zoomScale="85" zoomScaleNormal="85" workbookViewId="0">
      <selection activeCell="N2" sqref="N2:O3"/>
    </sheetView>
  </sheetViews>
  <sheetFormatPr defaultColWidth="11.42578125" defaultRowHeight="15" x14ac:dyDescent="0.25"/>
  <cols>
    <col min="1" max="1" width="34.42578125" customWidth="1"/>
    <col min="17" max="17" width="14.42578125" bestFit="1" customWidth="1"/>
    <col min="18" max="18" width="15.28515625" bestFit="1" customWidth="1"/>
  </cols>
  <sheetData>
    <row r="2" spans="1:19" x14ac:dyDescent="0.25">
      <c r="B2">
        <v>31</v>
      </c>
      <c r="C2">
        <v>28</v>
      </c>
      <c r="D2">
        <v>31</v>
      </c>
      <c r="E2">
        <v>30</v>
      </c>
      <c r="F2">
        <v>31</v>
      </c>
      <c r="G2">
        <v>30</v>
      </c>
      <c r="H2">
        <v>31</v>
      </c>
      <c r="I2">
        <v>31</v>
      </c>
      <c r="J2">
        <v>30</v>
      </c>
      <c r="K2">
        <v>31</v>
      </c>
      <c r="L2">
        <v>30</v>
      </c>
      <c r="M2">
        <v>31</v>
      </c>
    </row>
    <row r="3" spans="1:19" x14ac:dyDescent="0.25">
      <c r="A3" t="s">
        <v>34</v>
      </c>
      <c r="B3" t="s">
        <v>35</v>
      </c>
      <c r="C3" t="s">
        <v>36</v>
      </c>
      <c r="D3" t="s">
        <v>37</v>
      </c>
      <c r="E3" t="s">
        <v>38</v>
      </c>
      <c r="F3" t="s">
        <v>39</v>
      </c>
      <c r="G3" t="s">
        <v>40</v>
      </c>
      <c r="H3" t="s">
        <v>41</v>
      </c>
      <c r="I3" t="s">
        <v>42</v>
      </c>
      <c r="J3" t="s">
        <v>43</v>
      </c>
      <c r="K3" t="s">
        <v>155</v>
      </c>
      <c r="L3" t="s">
        <v>45</v>
      </c>
      <c r="M3" t="s">
        <v>46</v>
      </c>
    </row>
    <row r="4" spans="1:19" x14ac:dyDescent="0.25">
      <c r="A4" t="s">
        <v>156</v>
      </c>
      <c r="B4">
        <v>29.68</v>
      </c>
      <c r="C4">
        <v>39.97</v>
      </c>
      <c r="D4">
        <v>66.98</v>
      </c>
      <c r="E4">
        <v>84.35</v>
      </c>
      <c r="F4">
        <v>110.4</v>
      </c>
      <c r="G4">
        <v>132.93</v>
      </c>
      <c r="H4">
        <v>147.02000000000001</v>
      </c>
      <c r="I4">
        <v>135.16</v>
      </c>
      <c r="J4">
        <v>94.56</v>
      </c>
      <c r="K4">
        <v>62.55</v>
      </c>
      <c r="L4">
        <v>35.97</v>
      </c>
      <c r="M4">
        <v>26.67</v>
      </c>
      <c r="P4" s="1" t="s">
        <v>29</v>
      </c>
      <c r="Q4" s="1" t="s">
        <v>30</v>
      </c>
    </row>
    <row r="5" spans="1:19" x14ac:dyDescent="0.25">
      <c r="P5" s="2" t="s">
        <v>31</v>
      </c>
      <c r="Q5" s="4">
        <v>0.65</v>
      </c>
    </row>
    <row r="6" spans="1:19" x14ac:dyDescent="0.25">
      <c r="A6" s="62" t="s">
        <v>158</v>
      </c>
      <c r="P6" s="2" t="s">
        <v>32</v>
      </c>
      <c r="Q6" s="4">
        <v>0.75</v>
      </c>
    </row>
    <row r="7" spans="1:19" x14ac:dyDescent="0.25">
      <c r="A7" t="s">
        <v>157</v>
      </c>
      <c r="B7">
        <v>0.3</v>
      </c>
      <c r="C7">
        <v>0.3</v>
      </c>
      <c r="D7">
        <v>0.3</v>
      </c>
      <c r="E7">
        <v>0.3</v>
      </c>
      <c r="F7">
        <v>0.3</v>
      </c>
      <c r="G7">
        <v>0.3</v>
      </c>
      <c r="H7">
        <v>0.3</v>
      </c>
      <c r="I7">
        <v>0.3</v>
      </c>
      <c r="J7">
        <v>0.3</v>
      </c>
      <c r="K7">
        <v>0.3</v>
      </c>
      <c r="L7">
        <v>0.3</v>
      </c>
      <c r="M7">
        <v>0.3</v>
      </c>
      <c r="P7" s="2" t="s">
        <v>33</v>
      </c>
      <c r="Q7" s="4">
        <v>0.8</v>
      </c>
    </row>
    <row r="8" spans="1:19" x14ac:dyDescent="0.25">
      <c r="A8" t="s">
        <v>159</v>
      </c>
      <c r="B8">
        <f>B7*(IF('Dades meteorològiques'!C11=0,'Necessitats de reg'!B4,'Dades meteorològiques'!C11))</f>
        <v>8.9039999999999999</v>
      </c>
      <c r="C8">
        <f>C7*(IF('Dades meteorològiques'!D11=0,'Necessitats de reg'!C4,'Dades meteorològiques'!D11))</f>
        <v>11.991</v>
      </c>
      <c r="D8">
        <f>D7*(IF('Dades meteorològiques'!E11=0,'Necessitats de reg'!D4,'Dades meteorològiques'!E11))</f>
        <v>20.094000000000001</v>
      </c>
      <c r="E8">
        <f>E7*(IF('Dades meteorològiques'!F11=0,'Necessitats de reg'!E4,'Dades meteorològiques'!F11))</f>
        <v>25.304999999999996</v>
      </c>
      <c r="F8">
        <f>F7*(IF('Dades meteorològiques'!G11=0,'Necessitats de reg'!F4,'Dades meteorològiques'!G11))</f>
        <v>33.119999999999997</v>
      </c>
      <c r="G8">
        <f>G7*(IF('Dades meteorològiques'!H11=0,'Necessitats de reg'!G4,'Dades meteorològiques'!H11))</f>
        <v>39.878999999999998</v>
      </c>
      <c r="H8">
        <f>H7*(IF('Dades meteorològiques'!I11=0,'Necessitats de reg'!H4,'Dades meteorològiques'!I11))</f>
        <v>44.106000000000002</v>
      </c>
      <c r="I8">
        <f>I7*(IF('Dades meteorològiques'!J11=0,'Necessitats de reg'!I4,'Dades meteorològiques'!J11))</f>
        <v>40.547999999999995</v>
      </c>
      <c r="J8">
        <f>J7*(IF('Dades meteorològiques'!K11=0,'Necessitats de reg'!J4,'Dades meteorològiques'!K11))</f>
        <v>28.367999999999999</v>
      </c>
      <c r="K8">
        <f>K7*(IF('Dades meteorològiques'!L11=0,'Necessitats de reg'!K4,'Dades meteorològiques'!L11))</f>
        <v>18.764999999999997</v>
      </c>
      <c r="L8">
        <f>L7*(IF('Dades meteorològiques'!M11=0,'Necessitats de reg'!L4,'Dades meteorològiques'!M11))</f>
        <v>10.790999999999999</v>
      </c>
      <c r="M8">
        <f>M7*(IF('Dades meteorològiques'!N11=0,'Necessitats de reg'!M4,'Dades meteorològiques'!N11))</f>
        <v>8.0009999999999994</v>
      </c>
      <c r="P8" s="65">
        <v>0</v>
      </c>
      <c r="Q8" s="66">
        <v>0</v>
      </c>
    </row>
    <row r="9" spans="1:19" x14ac:dyDescent="0.25">
      <c r="A9" t="s">
        <v>160</v>
      </c>
      <c r="B9">
        <f>APLICATIU!$F$19*B8</f>
        <v>890.4</v>
      </c>
      <c r="C9">
        <f>APLICATIU!$F$19*C8</f>
        <v>1199.0999999999999</v>
      </c>
      <c r="D9">
        <f>APLICATIU!$F$19*D8</f>
        <v>2009.4</v>
      </c>
      <c r="E9">
        <f>APLICATIU!$F$19*E8</f>
        <v>2530.4999999999995</v>
      </c>
      <c r="F9">
        <f>APLICATIU!$F$19*F8</f>
        <v>3311.9999999999995</v>
      </c>
      <c r="G9">
        <f>APLICATIU!$F$19*G8</f>
        <v>3987.8999999999996</v>
      </c>
      <c r="H9">
        <f>APLICATIU!$F$19*H8</f>
        <v>4410.6000000000004</v>
      </c>
      <c r="I9">
        <f>APLICATIU!$F$19*I8</f>
        <v>4054.7999999999993</v>
      </c>
      <c r="J9">
        <f>APLICATIU!$F$19*J8</f>
        <v>2836.7999999999997</v>
      </c>
      <c r="K9">
        <f>APLICATIU!$F$19*K8</f>
        <v>1876.4999999999998</v>
      </c>
      <c r="L9">
        <f>APLICATIU!$F$19*L8</f>
        <v>1079.0999999999999</v>
      </c>
      <c r="M9">
        <f>APLICATIU!$F$19*M8</f>
        <v>800.09999999999991</v>
      </c>
    </row>
    <row r="10" spans="1:19" x14ac:dyDescent="0.25">
      <c r="A10" t="s">
        <v>161</v>
      </c>
      <c r="B10">
        <f t="shared" ref="B10:M10" si="0">B9/B2</f>
        <v>28.72258064516129</v>
      </c>
      <c r="C10">
        <f t="shared" si="0"/>
        <v>42.824999999999996</v>
      </c>
      <c r="D10">
        <f t="shared" si="0"/>
        <v>64.819354838709685</v>
      </c>
      <c r="E10">
        <f t="shared" si="0"/>
        <v>84.34999999999998</v>
      </c>
      <c r="F10">
        <f t="shared" si="0"/>
        <v>106.83870967741935</v>
      </c>
      <c r="G10">
        <f t="shared" si="0"/>
        <v>132.92999999999998</v>
      </c>
      <c r="H10">
        <f t="shared" si="0"/>
        <v>142.27741935483871</v>
      </c>
      <c r="I10">
        <f t="shared" si="0"/>
        <v>130.79999999999998</v>
      </c>
      <c r="J10">
        <f t="shared" si="0"/>
        <v>94.559999999999988</v>
      </c>
      <c r="K10">
        <f t="shared" si="0"/>
        <v>60.532258064516121</v>
      </c>
      <c r="L10">
        <f t="shared" si="0"/>
        <v>35.97</v>
      </c>
      <c r="M10">
        <f t="shared" si="0"/>
        <v>25.809677419354834</v>
      </c>
      <c r="P10" s="69" t="s">
        <v>165</v>
      </c>
      <c r="Q10" s="70" t="s">
        <v>171</v>
      </c>
      <c r="R10" s="70" t="s">
        <v>172</v>
      </c>
      <c r="S10" s="70" t="s">
        <v>30</v>
      </c>
    </row>
    <row r="11" spans="1:19" x14ac:dyDescent="0.25">
      <c r="A11" t="s">
        <v>170</v>
      </c>
      <c r="B11">
        <f>B10/$S$11</f>
        <v>38.296774193548387</v>
      </c>
      <c r="C11">
        <f t="shared" ref="C11:M11" si="1">C10/$S$11</f>
        <v>57.099999999999994</v>
      </c>
      <c r="D11">
        <f t="shared" si="1"/>
        <v>86.425806451612914</v>
      </c>
      <c r="E11">
        <f t="shared" si="1"/>
        <v>112.46666666666664</v>
      </c>
      <c r="F11">
        <f t="shared" si="1"/>
        <v>142.45161290322579</v>
      </c>
      <c r="G11">
        <f t="shared" si="1"/>
        <v>177.23999999999998</v>
      </c>
      <c r="H11">
        <f t="shared" si="1"/>
        <v>189.70322580645163</v>
      </c>
      <c r="I11">
        <f t="shared" si="1"/>
        <v>174.39999999999998</v>
      </c>
      <c r="J11">
        <f t="shared" si="1"/>
        <v>126.07999999999998</v>
      </c>
      <c r="K11">
        <f t="shared" si="1"/>
        <v>80.709677419354833</v>
      </c>
      <c r="L11">
        <f t="shared" si="1"/>
        <v>47.96</v>
      </c>
      <c r="M11">
        <f t="shared" si="1"/>
        <v>34.412903225806446</v>
      </c>
      <c r="P11" s="392" t="s">
        <v>22</v>
      </c>
      <c r="Q11" s="391">
        <f>APLICATIU!$F$19</f>
        <v>100</v>
      </c>
      <c r="R11" s="391" t="str">
        <f>APLICATIU!E20</f>
        <v>Aspersió</v>
      </c>
      <c r="S11" s="391">
        <f>VLOOKUP(R11,$P$5:$Q$8,2,FALSE)</f>
        <v>0.75</v>
      </c>
    </row>
    <row r="12" spans="1:19" x14ac:dyDescent="0.25">
      <c r="P12" s="392"/>
      <c r="Q12" s="391"/>
      <c r="R12" s="391"/>
      <c r="S12" s="391"/>
    </row>
    <row r="13" spans="1:19" x14ac:dyDescent="0.25">
      <c r="A13" s="62" t="s">
        <v>23</v>
      </c>
      <c r="P13" s="392"/>
      <c r="Q13" s="391"/>
      <c r="R13" s="391"/>
      <c r="S13" s="391"/>
    </row>
    <row r="14" spans="1:19" x14ac:dyDescent="0.25">
      <c r="A14" t="s">
        <v>157</v>
      </c>
      <c r="B14">
        <v>0.7</v>
      </c>
      <c r="C14">
        <v>0.7</v>
      </c>
      <c r="D14">
        <v>0.7</v>
      </c>
      <c r="E14">
        <v>0.7</v>
      </c>
      <c r="F14">
        <v>0.7</v>
      </c>
      <c r="G14">
        <v>0.7</v>
      </c>
      <c r="H14">
        <v>0.7</v>
      </c>
      <c r="I14">
        <v>0.7</v>
      </c>
      <c r="J14">
        <v>0.7</v>
      </c>
      <c r="K14">
        <v>0.7</v>
      </c>
      <c r="L14">
        <v>0.7</v>
      </c>
      <c r="M14">
        <v>0.7</v>
      </c>
      <c r="P14" s="67" t="s">
        <v>23</v>
      </c>
      <c r="Q14" s="68">
        <f>APLICATIU!$F$21</f>
        <v>200</v>
      </c>
      <c r="R14" s="68" t="str">
        <f>APLICATIU!E21</f>
        <v>Mànega</v>
      </c>
      <c r="S14" s="68">
        <f>VLOOKUP(R14,$P$5:$Q$8,2,FALSE)</f>
        <v>0.65</v>
      </c>
    </row>
    <row r="15" spans="1:19" x14ac:dyDescent="0.25">
      <c r="A15" t="s">
        <v>159</v>
      </c>
      <c r="B15">
        <f>B14*(IF('Dades meteorològiques'!C11=0,'Necessitats de reg'!B4,'Dades meteorològiques'!C11))</f>
        <v>20.776</v>
      </c>
      <c r="C15">
        <f>C14*(IF('Dades meteorològiques'!D11=0,'Necessitats de reg'!C4,'Dades meteorològiques'!D11))</f>
        <v>27.978999999999999</v>
      </c>
      <c r="D15">
        <f>D14*(IF('Dades meteorològiques'!E11=0,'Necessitats de reg'!D4,'Dades meteorològiques'!E11))</f>
        <v>46.886000000000003</v>
      </c>
      <c r="E15">
        <f>E14*(IF('Dades meteorològiques'!F11=0,'Necessitats de reg'!E4,'Dades meteorològiques'!F11))</f>
        <v>59.044999999999995</v>
      </c>
      <c r="F15">
        <f>F14*(IF('Dades meteorològiques'!G11=0,'Necessitats de reg'!F4,'Dades meteorològiques'!G11))</f>
        <v>77.28</v>
      </c>
      <c r="G15">
        <f>G14*(IF('Dades meteorològiques'!H11=0,'Necessitats de reg'!G4,'Dades meteorològiques'!H11))</f>
        <v>93.051000000000002</v>
      </c>
      <c r="H15">
        <f>H14*(IF('Dades meteorològiques'!I11=0,'Necessitats de reg'!H4,'Dades meteorològiques'!I11))</f>
        <v>102.914</v>
      </c>
      <c r="I15">
        <f>I14*(IF('Dades meteorològiques'!J11=0,'Necessitats de reg'!I4,'Dades meteorològiques'!J11))</f>
        <v>94.611999999999995</v>
      </c>
      <c r="J15">
        <f>J14*(IF('Dades meteorològiques'!K11=0,'Necessitats de reg'!J4,'Dades meteorològiques'!K11))</f>
        <v>66.191999999999993</v>
      </c>
      <c r="K15">
        <f>K14*(IF('Dades meteorològiques'!L11=0,'Necessitats de reg'!K4,'Dades meteorològiques'!L11))</f>
        <v>43.784999999999997</v>
      </c>
      <c r="L15">
        <f>L14*(IF('Dades meteorològiques'!M11=0,'Necessitats de reg'!L4,'Dades meteorològiques'!M11))</f>
        <v>25.178999999999998</v>
      </c>
      <c r="M15">
        <f>M14*(IF('Dades meteorològiques'!N11=0,'Necessitats de reg'!M4,'Dades meteorològiques'!N11))</f>
        <v>18.669</v>
      </c>
      <c r="P15" s="67" t="s">
        <v>24</v>
      </c>
      <c r="Q15" s="68">
        <f>APLICATIU!$F$22</f>
        <v>0</v>
      </c>
      <c r="R15" s="68" t="str">
        <f>APLICATIU!E22</f>
        <v>Mànega</v>
      </c>
      <c r="S15" s="68">
        <f>VLOOKUP(R15,$P$5:$Q$8,2,FALSE)</f>
        <v>0.65</v>
      </c>
    </row>
    <row r="16" spans="1:19" x14ac:dyDescent="0.25">
      <c r="A16" t="s">
        <v>160</v>
      </c>
      <c r="B16">
        <f>APLICATIU!$F$21*B15</f>
        <v>4155.2</v>
      </c>
      <c r="C16">
        <f>APLICATIU!$F$21*C15</f>
        <v>5595.8</v>
      </c>
      <c r="D16">
        <f>APLICATIU!$F$21*D15</f>
        <v>9377.2000000000007</v>
      </c>
      <c r="E16">
        <f>APLICATIU!$F$21*E15</f>
        <v>11808.999999999998</v>
      </c>
      <c r="F16">
        <f>APLICATIU!$F$21*F15</f>
        <v>15456</v>
      </c>
      <c r="G16">
        <f>APLICATIU!$F$21*G15</f>
        <v>18610.2</v>
      </c>
      <c r="H16">
        <f>APLICATIU!$F$21*H15</f>
        <v>20582.8</v>
      </c>
      <c r="I16">
        <f>APLICATIU!$F$21*I15</f>
        <v>18922.399999999998</v>
      </c>
      <c r="J16">
        <f>APLICATIU!$F$21*J15</f>
        <v>13238.399999999998</v>
      </c>
      <c r="K16">
        <f>APLICATIU!$F$21*K15</f>
        <v>8757</v>
      </c>
      <c r="L16">
        <f>APLICATIU!$F$21*L15</f>
        <v>5035.7999999999993</v>
      </c>
      <c r="M16">
        <f>APLICATIU!$F$21*M15</f>
        <v>3733.8</v>
      </c>
      <c r="P16" s="393" t="s">
        <v>25</v>
      </c>
      <c r="Q16" s="391">
        <f>APLICATIU!$F$23</f>
        <v>0</v>
      </c>
      <c r="R16" s="391" t="str">
        <f>APLICATIU!E23</f>
        <v>Mànega</v>
      </c>
      <c r="S16" s="391">
        <f>VLOOKUP(R16,$P$5:$Q$8,2,FALSE)</f>
        <v>0.65</v>
      </c>
    </row>
    <row r="17" spans="1:19" x14ac:dyDescent="0.25">
      <c r="A17" t="s">
        <v>161</v>
      </c>
      <c r="B17">
        <f t="shared" ref="B17:M17" si="2">B16/B2</f>
        <v>134.03870967741935</v>
      </c>
      <c r="C17">
        <f t="shared" si="2"/>
        <v>199.85</v>
      </c>
      <c r="D17">
        <f t="shared" si="2"/>
        <v>302.49032258064517</v>
      </c>
      <c r="E17">
        <f t="shared" si="2"/>
        <v>393.63333333333327</v>
      </c>
      <c r="F17">
        <f t="shared" si="2"/>
        <v>498.58064516129031</v>
      </c>
      <c r="G17">
        <f t="shared" si="2"/>
        <v>620.34</v>
      </c>
      <c r="H17">
        <f t="shared" si="2"/>
        <v>663.96129032258057</v>
      </c>
      <c r="I17">
        <f t="shared" si="2"/>
        <v>610.4</v>
      </c>
      <c r="J17">
        <f t="shared" si="2"/>
        <v>441.27999999999992</v>
      </c>
      <c r="K17">
        <f t="shared" si="2"/>
        <v>282.48387096774195</v>
      </c>
      <c r="L17">
        <f t="shared" si="2"/>
        <v>167.85999999999999</v>
      </c>
      <c r="M17">
        <f t="shared" si="2"/>
        <v>120.44516129032259</v>
      </c>
      <c r="P17" s="393"/>
      <c r="Q17" s="391"/>
      <c r="R17" s="391"/>
      <c r="S17" s="391"/>
    </row>
    <row r="18" spans="1:19" x14ac:dyDescent="0.25">
      <c r="A18" t="s">
        <v>170</v>
      </c>
      <c r="B18">
        <f>B17/$S$14</f>
        <v>206.21339950372206</v>
      </c>
      <c r="C18">
        <f t="shared" ref="C18:M18" si="3">C17/$S$14</f>
        <v>307.46153846153845</v>
      </c>
      <c r="D18">
        <f t="shared" si="3"/>
        <v>465.3697270471464</v>
      </c>
      <c r="E18">
        <f t="shared" si="3"/>
        <v>605.58974358974342</v>
      </c>
      <c r="F18">
        <f t="shared" si="3"/>
        <v>767.04714640198506</v>
      </c>
      <c r="G18">
        <f t="shared" si="3"/>
        <v>954.36923076923074</v>
      </c>
      <c r="H18">
        <f t="shared" si="3"/>
        <v>1021.4789081885855</v>
      </c>
      <c r="I18">
        <f t="shared" si="3"/>
        <v>939.07692307692298</v>
      </c>
      <c r="J18">
        <f t="shared" si="3"/>
        <v>678.89230769230755</v>
      </c>
      <c r="K18">
        <f t="shared" si="3"/>
        <v>434.59057071960297</v>
      </c>
      <c r="L18">
        <f t="shared" si="3"/>
        <v>258.24615384615379</v>
      </c>
      <c r="M18">
        <f t="shared" si="3"/>
        <v>185.30024813895781</v>
      </c>
      <c r="P18" s="67" t="s">
        <v>26</v>
      </c>
      <c r="Q18" s="68">
        <f>APLICATIU!$F$25</f>
        <v>0</v>
      </c>
      <c r="R18" s="68" t="str">
        <f>APLICATIU!E25</f>
        <v>Mànega</v>
      </c>
      <c r="S18" s="68">
        <f>VLOOKUP(R18,$P$5:$Q$8,2,FALSE)</f>
        <v>0.65</v>
      </c>
    </row>
    <row r="19" spans="1:19" x14ac:dyDescent="0.25">
      <c r="P19" s="67"/>
      <c r="Q19" s="68"/>
      <c r="R19" s="68"/>
      <c r="S19" s="68"/>
    </row>
    <row r="20" spans="1:19" x14ac:dyDescent="0.25">
      <c r="A20" s="62" t="s">
        <v>24</v>
      </c>
      <c r="P20" s="67" t="s">
        <v>27</v>
      </c>
      <c r="Q20" s="68">
        <f>APLICATIU!$F$26</f>
        <v>0</v>
      </c>
      <c r="R20" s="68" t="str">
        <f>APLICATIU!E26</f>
        <v>Aspersió</v>
      </c>
      <c r="S20" s="68">
        <f>VLOOKUP(R20,$P$5:$Q$7,2,FALSE)</f>
        <v>0.75</v>
      </c>
    </row>
    <row r="21" spans="1:19" x14ac:dyDescent="0.25">
      <c r="A21" t="s">
        <v>157</v>
      </c>
      <c r="B21">
        <v>0.8</v>
      </c>
      <c r="C21">
        <v>0.8</v>
      </c>
      <c r="D21">
        <v>0.8</v>
      </c>
      <c r="E21">
        <v>0.8</v>
      </c>
      <c r="F21">
        <v>0.8</v>
      </c>
      <c r="G21">
        <v>0.8</v>
      </c>
      <c r="H21">
        <v>0.8</v>
      </c>
      <c r="I21">
        <v>0.8</v>
      </c>
      <c r="J21">
        <v>0.8</v>
      </c>
      <c r="K21">
        <v>0.8</v>
      </c>
      <c r="L21">
        <v>0.8</v>
      </c>
      <c r="M21">
        <v>0.8</v>
      </c>
      <c r="P21" s="67" t="s">
        <v>28</v>
      </c>
      <c r="Q21" s="68">
        <f>APLICATIU!$F$27</f>
        <v>0</v>
      </c>
      <c r="R21" s="68" t="str">
        <f>APLICATIU!E27</f>
        <v>Mànega</v>
      </c>
      <c r="S21" s="68">
        <f>VLOOKUP(R21,$P$5:$Q$8,2,FALSE)</f>
        <v>0.65</v>
      </c>
    </row>
    <row r="22" spans="1:19" x14ac:dyDescent="0.25">
      <c r="A22" t="s">
        <v>159</v>
      </c>
      <c r="B22">
        <f>B21*(IF('Dades meteorològiques'!C11=0,'Necessitats de reg'!B4,'Dades meteorològiques'!C11))</f>
        <v>23.744</v>
      </c>
      <c r="C22">
        <f>C21*(IF('Dades meteorològiques'!D11=0,'Necessitats de reg'!C4,'Dades meteorològiques'!D11))</f>
        <v>31.975999999999999</v>
      </c>
      <c r="D22">
        <f>D21*(IF('Dades meteorològiques'!E11=0,'Necessitats de reg'!D4,'Dades meteorològiques'!E11))</f>
        <v>53.584000000000003</v>
      </c>
      <c r="E22">
        <f>E21*(IF('Dades meteorològiques'!F11=0,'Necessitats de reg'!E4,'Dades meteorològiques'!F11))</f>
        <v>67.48</v>
      </c>
      <c r="F22">
        <f>F21*(IF('Dades meteorològiques'!G11=0,'Necessitats de reg'!F4,'Dades meteorològiques'!G11))</f>
        <v>88.320000000000007</v>
      </c>
      <c r="G22">
        <f>G21*(IF('Dades meteorològiques'!H11=0,'Necessitats de reg'!G4,'Dades meteorològiques'!H11))</f>
        <v>106.34400000000001</v>
      </c>
      <c r="H22">
        <f>H21*(IF('Dades meteorològiques'!I11=0,'Necessitats de reg'!H4,'Dades meteorològiques'!I11))</f>
        <v>117.61600000000001</v>
      </c>
      <c r="I22">
        <f>I21*(IF('Dades meteorològiques'!J11=0,'Necessitats de reg'!I4,'Dades meteorològiques'!J11))</f>
        <v>108.128</v>
      </c>
      <c r="J22">
        <f>J21*(IF('Dades meteorològiques'!K11=0,'Necessitats de reg'!J4,'Dades meteorològiques'!K11))</f>
        <v>75.64800000000001</v>
      </c>
      <c r="K22">
        <f>K21*(IF('Dades meteorològiques'!L11=0,'Necessitats de reg'!K4,'Dades meteorològiques'!L11))</f>
        <v>50.04</v>
      </c>
      <c r="L22">
        <f>L21*(IF('Dades meteorològiques'!M11=0,'Necessitats de reg'!L4,'Dades meteorològiques'!M11))</f>
        <v>28.776</v>
      </c>
      <c r="M22">
        <f>M21*(IF('Dades meteorològiques'!N11=0,'Necessitats de reg'!M4,'Dades meteorològiques'!N11))</f>
        <v>21.336000000000002</v>
      </c>
      <c r="P22" s="67" t="s">
        <v>47</v>
      </c>
      <c r="Q22" s="81">
        <f>SUM(Q11:Q21)</f>
        <v>300</v>
      </c>
    </row>
    <row r="23" spans="1:19" x14ac:dyDescent="0.25">
      <c r="A23" t="s">
        <v>160</v>
      </c>
      <c r="B23">
        <f>APLICATIU!$F$22*B22</f>
        <v>0</v>
      </c>
      <c r="C23">
        <f>APLICATIU!$F$22*C22</f>
        <v>0</v>
      </c>
      <c r="D23">
        <f>APLICATIU!$F$22*D22</f>
        <v>0</v>
      </c>
      <c r="E23">
        <f>APLICATIU!$F$22*E22</f>
        <v>0</v>
      </c>
      <c r="F23">
        <f>APLICATIU!$F$22*F22</f>
        <v>0</v>
      </c>
      <c r="G23">
        <f>APLICATIU!$F$22*G22</f>
        <v>0</v>
      </c>
      <c r="H23">
        <f>APLICATIU!$F$22*H22</f>
        <v>0</v>
      </c>
      <c r="I23">
        <f>APLICATIU!$F$22*I22</f>
        <v>0</v>
      </c>
      <c r="J23">
        <f>APLICATIU!$F$22*J22</f>
        <v>0</v>
      </c>
      <c r="K23">
        <f>APLICATIU!$F$22*K22</f>
        <v>0</v>
      </c>
      <c r="L23">
        <f>APLICATIU!$F$22*L22</f>
        <v>0</v>
      </c>
      <c r="M23">
        <f>APLICATIU!$F$22*M22</f>
        <v>0</v>
      </c>
    </row>
    <row r="24" spans="1:19" x14ac:dyDescent="0.25">
      <c r="A24" t="s">
        <v>161</v>
      </c>
      <c r="B24">
        <f t="shared" ref="B24:M24" si="4">B23/B2</f>
        <v>0</v>
      </c>
      <c r="C24">
        <f t="shared" si="4"/>
        <v>0</v>
      </c>
      <c r="D24">
        <f t="shared" si="4"/>
        <v>0</v>
      </c>
      <c r="E24">
        <f t="shared" si="4"/>
        <v>0</v>
      </c>
      <c r="F24">
        <f t="shared" si="4"/>
        <v>0</v>
      </c>
      <c r="G24">
        <f t="shared" si="4"/>
        <v>0</v>
      </c>
      <c r="H24">
        <f t="shared" si="4"/>
        <v>0</v>
      </c>
      <c r="I24">
        <f t="shared" si="4"/>
        <v>0</v>
      </c>
      <c r="J24">
        <f t="shared" si="4"/>
        <v>0</v>
      </c>
      <c r="K24">
        <f t="shared" si="4"/>
        <v>0</v>
      </c>
      <c r="L24">
        <f t="shared" si="4"/>
        <v>0</v>
      </c>
      <c r="M24">
        <f t="shared" si="4"/>
        <v>0</v>
      </c>
    </row>
    <row r="25" spans="1:19" x14ac:dyDescent="0.25">
      <c r="A25" t="s">
        <v>170</v>
      </c>
      <c r="B25">
        <f>B24/$S$15</f>
        <v>0</v>
      </c>
      <c r="C25">
        <f t="shared" ref="C25:M25" si="5">C24/$S$15</f>
        <v>0</v>
      </c>
      <c r="D25">
        <f t="shared" si="5"/>
        <v>0</v>
      </c>
      <c r="E25">
        <f t="shared" si="5"/>
        <v>0</v>
      </c>
      <c r="F25">
        <f t="shared" si="5"/>
        <v>0</v>
      </c>
      <c r="G25">
        <f t="shared" si="5"/>
        <v>0</v>
      </c>
      <c r="H25">
        <f t="shared" si="5"/>
        <v>0</v>
      </c>
      <c r="I25">
        <f t="shared" si="5"/>
        <v>0</v>
      </c>
      <c r="J25">
        <f t="shared" si="5"/>
        <v>0</v>
      </c>
      <c r="K25">
        <f t="shared" si="5"/>
        <v>0</v>
      </c>
      <c r="L25">
        <f t="shared" si="5"/>
        <v>0</v>
      </c>
      <c r="M25">
        <f t="shared" si="5"/>
        <v>0</v>
      </c>
    </row>
    <row r="27" spans="1:19" x14ac:dyDescent="0.25">
      <c r="A27" s="62" t="s">
        <v>25</v>
      </c>
    </row>
    <row r="28" spans="1:19" x14ac:dyDescent="0.25">
      <c r="A28" t="s">
        <v>157</v>
      </c>
      <c r="B28">
        <v>0.8</v>
      </c>
      <c r="C28">
        <v>0.8</v>
      </c>
      <c r="D28">
        <v>0.8</v>
      </c>
      <c r="E28">
        <v>0.8</v>
      </c>
      <c r="F28">
        <v>0.8</v>
      </c>
      <c r="G28">
        <v>0.8</v>
      </c>
      <c r="H28">
        <v>0.8</v>
      </c>
      <c r="I28">
        <v>0.8</v>
      </c>
      <c r="J28">
        <v>0.8</v>
      </c>
      <c r="K28">
        <v>0.8</v>
      </c>
      <c r="L28">
        <v>0.8</v>
      </c>
      <c r="M28">
        <v>0.8</v>
      </c>
    </row>
    <row r="29" spans="1:19" x14ac:dyDescent="0.25">
      <c r="A29" t="s">
        <v>159</v>
      </c>
      <c r="B29">
        <f>B28*(IF('Dades meteorològiques'!C11=0,'Necessitats de reg'!B4,'Dades meteorològiques'!C11))</f>
        <v>23.744</v>
      </c>
      <c r="C29">
        <f>C28*(IF('Dades meteorològiques'!D11=0,'Necessitats de reg'!C4,'Dades meteorològiques'!D11))</f>
        <v>31.975999999999999</v>
      </c>
      <c r="D29">
        <f>D28*(IF('Dades meteorològiques'!E11=0,'Necessitats de reg'!D4,'Dades meteorològiques'!E11))</f>
        <v>53.584000000000003</v>
      </c>
      <c r="E29">
        <f>E28*(IF('Dades meteorològiques'!F11=0,'Necessitats de reg'!E4,'Dades meteorològiques'!F11))</f>
        <v>67.48</v>
      </c>
      <c r="F29">
        <f>F28*(IF('Dades meteorològiques'!G11=0,'Necessitats de reg'!F4,'Dades meteorològiques'!G11))</f>
        <v>88.320000000000007</v>
      </c>
      <c r="G29">
        <f>G28*(IF('Dades meteorològiques'!H11=0,'Necessitats de reg'!G4,'Dades meteorològiques'!H11))</f>
        <v>106.34400000000001</v>
      </c>
      <c r="H29">
        <f>H28*(IF('Dades meteorològiques'!I11=0,'Necessitats de reg'!H4,'Dades meteorològiques'!I11))</f>
        <v>117.61600000000001</v>
      </c>
      <c r="I29">
        <f>I28*(IF('Dades meteorològiques'!J11=0,'Necessitats de reg'!I4,'Dades meteorològiques'!J11))</f>
        <v>108.128</v>
      </c>
      <c r="J29">
        <f>J28*(IF('Dades meteorològiques'!K11=0,'Necessitats de reg'!J4,'Dades meteorològiques'!K11))</f>
        <v>75.64800000000001</v>
      </c>
      <c r="K29">
        <f>K28*(IF('Dades meteorològiques'!L11=0,'Necessitats de reg'!K4,'Dades meteorològiques'!L11))</f>
        <v>50.04</v>
      </c>
      <c r="L29">
        <f>L28*(IF('Dades meteorològiques'!M11=0,'Necessitats de reg'!L4,'Dades meteorològiques'!M11))</f>
        <v>28.776</v>
      </c>
      <c r="M29">
        <f>M28*(IF('Dades meteorològiques'!N11=0,'Necessitats de reg'!M4,'Dades meteorològiques'!N11))</f>
        <v>21.336000000000002</v>
      </c>
    </row>
    <row r="30" spans="1:19" x14ac:dyDescent="0.25">
      <c r="A30" t="s">
        <v>160</v>
      </c>
      <c r="B30">
        <f>APLICATIU!$F$23*B29</f>
        <v>0</v>
      </c>
      <c r="C30">
        <f>APLICATIU!$F$23*C29</f>
        <v>0</v>
      </c>
      <c r="D30">
        <f>APLICATIU!$F$23*D29</f>
        <v>0</v>
      </c>
      <c r="E30">
        <f>APLICATIU!$F$23*E29</f>
        <v>0</v>
      </c>
      <c r="F30">
        <f>APLICATIU!$F$23*F29</f>
        <v>0</v>
      </c>
      <c r="G30">
        <f>APLICATIU!$F$23*G29</f>
        <v>0</v>
      </c>
      <c r="H30">
        <f>APLICATIU!$F$23*H29</f>
        <v>0</v>
      </c>
      <c r="I30">
        <f>APLICATIU!$F$23*I29</f>
        <v>0</v>
      </c>
      <c r="J30">
        <f>APLICATIU!$F$23*J29</f>
        <v>0</v>
      </c>
      <c r="K30">
        <f>APLICATIU!$F$23*K29</f>
        <v>0</v>
      </c>
      <c r="L30">
        <f>APLICATIU!$F$23*L29</f>
        <v>0</v>
      </c>
      <c r="M30">
        <f>APLICATIU!$F$23*M29</f>
        <v>0</v>
      </c>
    </row>
    <row r="31" spans="1:19" x14ac:dyDescent="0.25">
      <c r="A31" t="s">
        <v>161</v>
      </c>
      <c r="B31">
        <f t="shared" ref="B31:M31" si="6">B30/B2</f>
        <v>0</v>
      </c>
      <c r="C31">
        <f t="shared" si="6"/>
        <v>0</v>
      </c>
      <c r="D31">
        <f t="shared" si="6"/>
        <v>0</v>
      </c>
      <c r="E31">
        <f t="shared" si="6"/>
        <v>0</v>
      </c>
      <c r="F31">
        <f t="shared" si="6"/>
        <v>0</v>
      </c>
      <c r="G31">
        <f t="shared" si="6"/>
        <v>0</v>
      </c>
      <c r="H31">
        <f t="shared" si="6"/>
        <v>0</v>
      </c>
      <c r="I31">
        <f t="shared" si="6"/>
        <v>0</v>
      </c>
      <c r="J31">
        <f t="shared" si="6"/>
        <v>0</v>
      </c>
      <c r="K31">
        <f t="shared" si="6"/>
        <v>0</v>
      </c>
      <c r="L31">
        <f t="shared" si="6"/>
        <v>0</v>
      </c>
      <c r="M31">
        <f t="shared" si="6"/>
        <v>0</v>
      </c>
    </row>
    <row r="32" spans="1:19" x14ac:dyDescent="0.25">
      <c r="A32" t="s">
        <v>170</v>
      </c>
      <c r="B32">
        <f>B31/$S$16</f>
        <v>0</v>
      </c>
      <c r="C32">
        <f t="shared" ref="C32:M32" si="7">C31/$S$16</f>
        <v>0</v>
      </c>
      <c r="D32">
        <f t="shared" si="7"/>
        <v>0</v>
      </c>
      <c r="E32">
        <f t="shared" si="7"/>
        <v>0</v>
      </c>
      <c r="F32">
        <f t="shared" si="7"/>
        <v>0</v>
      </c>
      <c r="G32">
        <f t="shared" si="7"/>
        <v>0</v>
      </c>
      <c r="H32">
        <f t="shared" si="7"/>
        <v>0</v>
      </c>
      <c r="I32">
        <f t="shared" si="7"/>
        <v>0</v>
      </c>
      <c r="J32">
        <f t="shared" si="7"/>
        <v>0</v>
      </c>
      <c r="K32">
        <f t="shared" si="7"/>
        <v>0</v>
      </c>
      <c r="L32">
        <f t="shared" si="7"/>
        <v>0</v>
      </c>
      <c r="M32">
        <f t="shared" si="7"/>
        <v>0</v>
      </c>
    </row>
    <row r="34" spans="1:13" x14ac:dyDescent="0.25">
      <c r="A34" s="62" t="s">
        <v>26</v>
      </c>
    </row>
    <row r="35" spans="1:13" x14ac:dyDescent="0.25">
      <c r="A35" t="s">
        <v>157</v>
      </c>
      <c r="B35">
        <v>1</v>
      </c>
      <c r="C35">
        <v>1</v>
      </c>
      <c r="D35">
        <v>1</v>
      </c>
      <c r="E35">
        <v>1</v>
      </c>
      <c r="F35">
        <v>1</v>
      </c>
      <c r="G35">
        <v>1</v>
      </c>
      <c r="H35">
        <v>1</v>
      </c>
      <c r="I35">
        <v>1</v>
      </c>
      <c r="J35">
        <v>1</v>
      </c>
      <c r="K35">
        <v>1</v>
      </c>
      <c r="L35">
        <v>1</v>
      </c>
      <c r="M35">
        <v>1</v>
      </c>
    </row>
    <row r="36" spans="1:13" x14ac:dyDescent="0.25">
      <c r="A36" t="s">
        <v>159</v>
      </c>
      <c r="B36">
        <f>B35*(IF('Dades meteorològiques'!C11=0,'Necessitats de reg'!B4,'Dades meteorològiques'!C11))</f>
        <v>29.68</v>
      </c>
      <c r="C36">
        <f>C35*(IF('Dades meteorològiques'!D11=0,'Necessitats de reg'!C4,'Dades meteorològiques'!D11))</f>
        <v>39.97</v>
      </c>
      <c r="D36">
        <f>D35*(IF('Dades meteorològiques'!E11=0,'Necessitats de reg'!D4,'Dades meteorològiques'!E11))</f>
        <v>66.98</v>
      </c>
      <c r="E36">
        <f>E35*(IF('Dades meteorològiques'!F11=0,'Necessitats de reg'!E4,'Dades meteorològiques'!F11))</f>
        <v>84.35</v>
      </c>
      <c r="F36">
        <f>F35*(IF('Dades meteorològiques'!G11=0,'Necessitats de reg'!F4,'Dades meteorològiques'!G11))</f>
        <v>110.4</v>
      </c>
      <c r="G36">
        <f>G35*(IF('Dades meteorològiques'!H11=0,'Necessitats de reg'!G4,'Dades meteorològiques'!H11))</f>
        <v>132.93</v>
      </c>
      <c r="H36">
        <f>H35*(IF('Dades meteorològiques'!I11=0,'Necessitats de reg'!H4,'Dades meteorològiques'!I11))</f>
        <v>147.02000000000001</v>
      </c>
      <c r="I36">
        <f>I35*(IF('Dades meteorològiques'!J11=0,'Necessitats de reg'!I4,'Dades meteorològiques'!J11))</f>
        <v>135.16</v>
      </c>
      <c r="J36">
        <f>J35*(IF('Dades meteorològiques'!K11=0,'Necessitats de reg'!J4,'Dades meteorològiques'!K11))</f>
        <v>94.56</v>
      </c>
      <c r="K36">
        <f>K35*(IF('Dades meteorològiques'!L11=0,'Necessitats de reg'!K4,'Dades meteorològiques'!L11))</f>
        <v>62.55</v>
      </c>
      <c r="L36">
        <f>L35*(IF('Dades meteorològiques'!M11=0,'Necessitats de reg'!L4,'Dades meteorològiques'!M11))</f>
        <v>35.97</v>
      </c>
      <c r="M36">
        <f>M35*(IF('Dades meteorològiques'!N11=0,'Necessitats de reg'!M4,'Dades meteorològiques'!N11))</f>
        <v>26.67</v>
      </c>
    </row>
    <row r="37" spans="1:13" x14ac:dyDescent="0.25">
      <c r="A37" t="s">
        <v>160</v>
      </c>
      <c r="B37">
        <f>APLICATIU!$F$25*B36</f>
        <v>0</v>
      </c>
      <c r="C37">
        <f>APLICATIU!$F$25*C36</f>
        <v>0</v>
      </c>
      <c r="D37">
        <f>APLICATIU!$F$25*D36</f>
        <v>0</v>
      </c>
      <c r="E37">
        <f>APLICATIU!$F$25*E36</f>
        <v>0</v>
      </c>
      <c r="F37">
        <f>APLICATIU!$F$25*F36</f>
        <v>0</v>
      </c>
      <c r="G37">
        <f>APLICATIU!$F$25*G36</f>
        <v>0</v>
      </c>
      <c r="H37">
        <f>APLICATIU!$F$25*H36</f>
        <v>0</v>
      </c>
      <c r="I37">
        <f>APLICATIU!$F$25*I36</f>
        <v>0</v>
      </c>
      <c r="J37">
        <f>APLICATIU!$F$25*J36</f>
        <v>0</v>
      </c>
      <c r="K37">
        <f>APLICATIU!$F$25*K36</f>
        <v>0</v>
      </c>
      <c r="L37">
        <f>APLICATIU!$F$25*L36</f>
        <v>0</v>
      </c>
      <c r="M37">
        <f>APLICATIU!$F$25*M36</f>
        <v>0</v>
      </c>
    </row>
    <row r="38" spans="1:13" x14ac:dyDescent="0.25">
      <c r="A38" t="s">
        <v>161</v>
      </c>
      <c r="B38">
        <f t="shared" ref="B38:M38" si="8">B37/B2</f>
        <v>0</v>
      </c>
      <c r="C38">
        <f t="shared" si="8"/>
        <v>0</v>
      </c>
      <c r="D38">
        <f t="shared" si="8"/>
        <v>0</v>
      </c>
      <c r="E38">
        <f t="shared" si="8"/>
        <v>0</v>
      </c>
      <c r="F38">
        <f t="shared" si="8"/>
        <v>0</v>
      </c>
      <c r="G38">
        <f t="shared" si="8"/>
        <v>0</v>
      </c>
      <c r="H38">
        <f t="shared" si="8"/>
        <v>0</v>
      </c>
      <c r="I38">
        <f t="shared" si="8"/>
        <v>0</v>
      </c>
      <c r="J38">
        <f t="shared" si="8"/>
        <v>0</v>
      </c>
      <c r="K38">
        <f t="shared" si="8"/>
        <v>0</v>
      </c>
      <c r="L38">
        <f t="shared" si="8"/>
        <v>0</v>
      </c>
      <c r="M38">
        <f t="shared" si="8"/>
        <v>0</v>
      </c>
    </row>
    <row r="39" spans="1:13" x14ac:dyDescent="0.25">
      <c r="A39" t="s">
        <v>170</v>
      </c>
      <c r="B39">
        <f>B38/$S$18</f>
        <v>0</v>
      </c>
      <c r="C39">
        <f t="shared" ref="C39:M39" si="9">C38/$S$18</f>
        <v>0</v>
      </c>
      <c r="D39">
        <f t="shared" si="9"/>
        <v>0</v>
      </c>
      <c r="E39">
        <f t="shared" si="9"/>
        <v>0</v>
      </c>
      <c r="F39">
        <f t="shared" si="9"/>
        <v>0</v>
      </c>
      <c r="G39">
        <f t="shared" si="9"/>
        <v>0</v>
      </c>
      <c r="H39">
        <f t="shared" si="9"/>
        <v>0</v>
      </c>
      <c r="I39">
        <f t="shared" si="9"/>
        <v>0</v>
      </c>
      <c r="J39">
        <f t="shared" si="9"/>
        <v>0</v>
      </c>
      <c r="K39">
        <f t="shared" si="9"/>
        <v>0</v>
      </c>
      <c r="L39">
        <f t="shared" si="9"/>
        <v>0</v>
      </c>
      <c r="M39">
        <f t="shared" si="9"/>
        <v>0</v>
      </c>
    </row>
    <row r="41" spans="1:13" x14ac:dyDescent="0.25">
      <c r="A41" s="62" t="s">
        <v>27</v>
      </c>
    </row>
    <row r="42" spans="1:13" x14ac:dyDescent="0.25">
      <c r="A42" t="s">
        <v>157</v>
      </c>
      <c r="B42">
        <v>1</v>
      </c>
      <c r="C42">
        <v>1</v>
      </c>
      <c r="D42">
        <v>1</v>
      </c>
      <c r="E42">
        <v>1</v>
      </c>
      <c r="F42">
        <v>1</v>
      </c>
      <c r="G42">
        <v>1</v>
      </c>
      <c r="H42">
        <v>1</v>
      </c>
      <c r="I42">
        <v>1</v>
      </c>
      <c r="J42">
        <v>1</v>
      </c>
      <c r="K42">
        <v>1</v>
      </c>
      <c r="L42">
        <v>1</v>
      </c>
      <c r="M42">
        <v>1</v>
      </c>
    </row>
    <row r="43" spans="1:13" x14ac:dyDescent="0.25">
      <c r="A43" t="s">
        <v>159</v>
      </c>
      <c r="B43">
        <f>B42*(IF('Dades meteorològiques'!C11=0,'Necessitats de reg'!B4,'Dades meteorològiques'!C11))</f>
        <v>29.68</v>
      </c>
      <c r="C43">
        <f>C42*(IF('Dades meteorològiques'!D11=0,'Necessitats de reg'!C4,'Dades meteorològiques'!D11))</f>
        <v>39.97</v>
      </c>
      <c r="D43">
        <f>D42*(IF('Dades meteorològiques'!E11=0,'Necessitats de reg'!D4,'Dades meteorològiques'!E11))</f>
        <v>66.98</v>
      </c>
      <c r="E43">
        <f>E42*(IF('Dades meteorològiques'!F11=0,'Necessitats de reg'!E4,'Dades meteorològiques'!F11))</f>
        <v>84.35</v>
      </c>
      <c r="F43">
        <f>F42*(IF('Dades meteorològiques'!G11=0,'Necessitats de reg'!F4,'Dades meteorològiques'!G11))</f>
        <v>110.4</v>
      </c>
      <c r="G43">
        <f>G42*(IF('Dades meteorològiques'!H11=0,'Necessitats de reg'!G4,'Dades meteorològiques'!H11))</f>
        <v>132.93</v>
      </c>
      <c r="H43">
        <f>H42*(IF('Dades meteorològiques'!I11=0,'Necessitats de reg'!H4,'Dades meteorològiques'!I11))</f>
        <v>147.02000000000001</v>
      </c>
      <c r="I43">
        <f>I42*(IF('Dades meteorològiques'!J11=0,'Necessitats de reg'!I4,'Dades meteorològiques'!J11))</f>
        <v>135.16</v>
      </c>
      <c r="J43">
        <f>J42*(IF('Dades meteorològiques'!K11=0,'Necessitats de reg'!J4,'Dades meteorològiques'!K11))</f>
        <v>94.56</v>
      </c>
      <c r="K43">
        <f>K42*(IF('Dades meteorològiques'!L11=0,'Necessitats de reg'!K4,'Dades meteorològiques'!L11))</f>
        <v>62.55</v>
      </c>
      <c r="L43">
        <f>L42*(IF('Dades meteorològiques'!M11=0,'Necessitats de reg'!L4,'Dades meteorològiques'!M11))</f>
        <v>35.97</v>
      </c>
      <c r="M43">
        <f>M42*(IF('Dades meteorològiques'!N11=0,'Necessitats de reg'!M4,'Dades meteorològiques'!N11))</f>
        <v>26.67</v>
      </c>
    </row>
    <row r="44" spans="1:13" x14ac:dyDescent="0.25">
      <c r="A44" t="s">
        <v>160</v>
      </c>
      <c r="B44">
        <f>APLICATIU!$F$26*B43</f>
        <v>0</v>
      </c>
      <c r="C44">
        <f>APLICATIU!$F$26*C43</f>
        <v>0</v>
      </c>
      <c r="D44">
        <f>APLICATIU!$F$26*D43</f>
        <v>0</v>
      </c>
      <c r="E44">
        <f>APLICATIU!$F$26*E43</f>
        <v>0</v>
      </c>
      <c r="F44">
        <f>APLICATIU!$F$26*F43</f>
        <v>0</v>
      </c>
      <c r="G44">
        <f>APLICATIU!$F$26*G43</f>
        <v>0</v>
      </c>
      <c r="H44">
        <f>APLICATIU!$F$26*H43</f>
        <v>0</v>
      </c>
      <c r="I44">
        <f>APLICATIU!$F$26*I43</f>
        <v>0</v>
      </c>
      <c r="J44">
        <f>APLICATIU!$F$26*J43</f>
        <v>0</v>
      </c>
      <c r="K44">
        <f>APLICATIU!$F$26*K43</f>
        <v>0</v>
      </c>
      <c r="L44">
        <f>APLICATIU!$F$26*L43</f>
        <v>0</v>
      </c>
      <c r="M44">
        <f>APLICATIU!$F$26*M43</f>
        <v>0</v>
      </c>
    </row>
    <row r="45" spans="1:13" x14ac:dyDescent="0.25">
      <c r="A45" t="s">
        <v>161</v>
      </c>
      <c r="B45">
        <f t="shared" ref="B45:M45" si="10">B44/B2</f>
        <v>0</v>
      </c>
      <c r="C45">
        <f t="shared" si="10"/>
        <v>0</v>
      </c>
      <c r="D45">
        <f t="shared" si="10"/>
        <v>0</v>
      </c>
      <c r="E45">
        <f t="shared" si="10"/>
        <v>0</v>
      </c>
      <c r="F45">
        <f t="shared" si="10"/>
        <v>0</v>
      </c>
      <c r="G45">
        <f t="shared" si="10"/>
        <v>0</v>
      </c>
      <c r="H45">
        <f t="shared" si="10"/>
        <v>0</v>
      </c>
      <c r="I45">
        <f t="shared" si="10"/>
        <v>0</v>
      </c>
      <c r="J45">
        <f t="shared" si="10"/>
        <v>0</v>
      </c>
      <c r="K45">
        <f t="shared" si="10"/>
        <v>0</v>
      </c>
      <c r="L45">
        <f t="shared" si="10"/>
        <v>0</v>
      </c>
      <c r="M45">
        <f t="shared" si="10"/>
        <v>0</v>
      </c>
    </row>
    <row r="46" spans="1:13" x14ac:dyDescent="0.25">
      <c r="A46" t="s">
        <v>170</v>
      </c>
      <c r="B46">
        <f>B45/$S$20</f>
        <v>0</v>
      </c>
      <c r="C46">
        <f t="shared" ref="C46:M46" si="11">C45/$S$20</f>
        <v>0</v>
      </c>
      <c r="D46">
        <f t="shared" si="11"/>
        <v>0</v>
      </c>
      <c r="E46">
        <f t="shared" si="11"/>
        <v>0</v>
      </c>
      <c r="F46">
        <f t="shared" si="11"/>
        <v>0</v>
      </c>
      <c r="G46">
        <f t="shared" si="11"/>
        <v>0</v>
      </c>
      <c r="H46">
        <f t="shared" si="11"/>
        <v>0</v>
      </c>
      <c r="I46">
        <f t="shared" si="11"/>
        <v>0</v>
      </c>
      <c r="J46">
        <f t="shared" si="11"/>
        <v>0</v>
      </c>
      <c r="K46">
        <f t="shared" si="11"/>
        <v>0</v>
      </c>
      <c r="L46">
        <f t="shared" si="11"/>
        <v>0</v>
      </c>
      <c r="M46">
        <f t="shared" si="11"/>
        <v>0</v>
      </c>
    </row>
    <row r="48" spans="1:13" x14ac:dyDescent="0.25">
      <c r="A48" s="62" t="s">
        <v>28</v>
      </c>
    </row>
    <row r="49" spans="1:13" x14ac:dyDescent="0.25">
      <c r="A49" t="s">
        <v>157</v>
      </c>
      <c r="B49">
        <v>1</v>
      </c>
      <c r="C49">
        <v>1</v>
      </c>
      <c r="D49">
        <v>1</v>
      </c>
      <c r="E49">
        <v>1</v>
      </c>
      <c r="F49">
        <v>1</v>
      </c>
      <c r="G49">
        <v>1</v>
      </c>
      <c r="H49">
        <v>1</v>
      </c>
      <c r="I49">
        <v>1</v>
      </c>
      <c r="J49">
        <v>1</v>
      </c>
      <c r="K49">
        <v>1</v>
      </c>
      <c r="L49">
        <v>1</v>
      </c>
      <c r="M49">
        <v>1</v>
      </c>
    </row>
    <row r="50" spans="1:13" x14ac:dyDescent="0.25">
      <c r="A50" t="s">
        <v>159</v>
      </c>
      <c r="B50">
        <f>B49*(IF('Dades meteorològiques'!C11=0,'Necessitats de reg'!B4,'Dades meteorològiques'!C11))</f>
        <v>29.68</v>
      </c>
      <c r="C50">
        <f>C49*(IF('Dades meteorològiques'!D11=0,'Necessitats de reg'!C4,'Dades meteorològiques'!D11))</f>
        <v>39.97</v>
      </c>
      <c r="D50">
        <f>D49*(IF('Dades meteorològiques'!E11=0,'Necessitats de reg'!D4,'Dades meteorològiques'!E11))</f>
        <v>66.98</v>
      </c>
      <c r="E50">
        <f>E49*(IF('Dades meteorològiques'!F11=0,'Necessitats de reg'!E4,'Dades meteorològiques'!F11))</f>
        <v>84.35</v>
      </c>
      <c r="F50">
        <f>F49*(IF('Dades meteorològiques'!G11=0,'Necessitats de reg'!F4,'Dades meteorològiques'!G11))</f>
        <v>110.4</v>
      </c>
      <c r="G50">
        <f>G49*(IF('Dades meteorològiques'!H11=0,'Necessitats de reg'!G4,'Dades meteorològiques'!H11))</f>
        <v>132.93</v>
      </c>
      <c r="H50">
        <f>H49*(IF('Dades meteorològiques'!I11=0,'Necessitats de reg'!H4,'Dades meteorològiques'!I11))</f>
        <v>147.02000000000001</v>
      </c>
      <c r="I50">
        <f>I49*(IF('Dades meteorològiques'!J11=0,'Necessitats de reg'!I4,'Dades meteorològiques'!J11))</f>
        <v>135.16</v>
      </c>
      <c r="J50">
        <f>J49*(IF('Dades meteorològiques'!K11=0,'Necessitats de reg'!J4,'Dades meteorològiques'!K11))</f>
        <v>94.56</v>
      </c>
      <c r="K50">
        <f>K49*(IF('Dades meteorològiques'!L11=0,'Necessitats de reg'!K4,'Dades meteorològiques'!L11))</f>
        <v>62.55</v>
      </c>
      <c r="L50">
        <f>L49*(IF('Dades meteorològiques'!M11=0,'Necessitats de reg'!L4,'Dades meteorològiques'!M11))</f>
        <v>35.97</v>
      </c>
      <c r="M50">
        <f>M49*(IF('Dades meteorològiques'!N11=0,'Necessitats de reg'!M4,'Dades meteorològiques'!N11))</f>
        <v>26.67</v>
      </c>
    </row>
    <row r="51" spans="1:13" x14ac:dyDescent="0.25">
      <c r="A51" t="s">
        <v>160</v>
      </c>
      <c r="B51">
        <f>APLICATIU!$F$27*B50</f>
        <v>0</v>
      </c>
      <c r="C51">
        <f>APLICATIU!$F$27*C50</f>
        <v>0</v>
      </c>
      <c r="D51">
        <f>APLICATIU!$F$27*D50</f>
        <v>0</v>
      </c>
      <c r="E51">
        <f>APLICATIU!$F$27*E50</f>
        <v>0</v>
      </c>
      <c r="F51">
        <f>APLICATIU!$F$27*F50</f>
        <v>0</v>
      </c>
      <c r="G51">
        <f>APLICATIU!$F$27*G50</f>
        <v>0</v>
      </c>
      <c r="H51">
        <f>APLICATIU!$F$27*H50</f>
        <v>0</v>
      </c>
      <c r="I51">
        <f>APLICATIU!$F$27*I50</f>
        <v>0</v>
      </c>
      <c r="J51">
        <f>APLICATIU!$F$27*J50</f>
        <v>0</v>
      </c>
      <c r="K51">
        <f>APLICATIU!$F$27*K50</f>
        <v>0</v>
      </c>
      <c r="L51">
        <f>APLICATIU!$F$27*L50</f>
        <v>0</v>
      </c>
      <c r="M51">
        <f>APLICATIU!$F$27*M50</f>
        <v>0</v>
      </c>
    </row>
    <row r="52" spans="1:13" x14ac:dyDescent="0.25">
      <c r="A52" t="s">
        <v>161</v>
      </c>
      <c r="B52">
        <f t="shared" ref="B52:M52" si="12">B51/B2</f>
        <v>0</v>
      </c>
      <c r="C52">
        <f t="shared" si="12"/>
        <v>0</v>
      </c>
      <c r="D52">
        <f t="shared" si="12"/>
        <v>0</v>
      </c>
      <c r="E52">
        <f t="shared" si="12"/>
        <v>0</v>
      </c>
      <c r="F52">
        <f t="shared" si="12"/>
        <v>0</v>
      </c>
      <c r="G52">
        <f t="shared" si="12"/>
        <v>0</v>
      </c>
      <c r="H52">
        <f t="shared" si="12"/>
        <v>0</v>
      </c>
      <c r="I52">
        <f t="shared" si="12"/>
        <v>0</v>
      </c>
      <c r="J52">
        <f t="shared" si="12"/>
        <v>0</v>
      </c>
      <c r="K52">
        <f t="shared" si="12"/>
        <v>0</v>
      </c>
      <c r="L52">
        <f t="shared" si="12"/>
        <v>0</v>
      </c>
      <c r="M52">
        <f t="shared" si="12"/>
        <v>0</v>
      </c>
    </row>
    <row r="53" spans="1:13" x14ac:dyDescent="0.25">
      <c r="A53" t="s">
        <v>170</v>
      </c>
      <c r="B53">
        <f>B52/$S$21</f>
        <v>0</v>
      </c>
      <c r="C53">
        <f t="shared" ref="C53:M53" si="13">C52/$S$21</f>
        <v>0</v>
      </c>
      <c r="D53">
        <f t="shared" si="13"/>
        <v>0</v>
      </c>
      <c r="E53">
        <f t="shared" si="13"/>
        <v>0</v>
      </c>
      <c r="F53">
        <f t="shared" si="13"/>
        <v>0</v>
      </c>
      <c r="G53">
        <f t="shared" si="13"/>
        <v>0</v>
      </c>
      <c r="H53">
        <f t="shared" si="13"/>
        <v>0</v>
      </c>
      <c r="I53">
        <f t="shared" si="13"/>
        <v>0</v>
      </c>
      <c r="J53">
        <f t="shared" si="13"/>
        <v>0</v>
      </c>
      <c r="K53">
        <f t="shared" si="13"/>
        <v>0</v>
      </c>
      <c r="L53">
        <f t="shared" si="13"/>
        <v>0</v>
      </c>
      <c r="M53">
        <f t="shared" si="13"/>
        <v>0</v>
      </c>
    </row>
    <row r="56" spans="1:13" x14ac:dyDescent="0.25">
      <c r="A56" t="str">
        <f>APLICATIU!J5</f>
        <v>Personalitzat</v>
      </c>
      <c r="B56">
        <v>31</v>
      </c>
      <c r="C56">
        <v>28</v>
      </c>
      <c r="D56">
        <v>31</v>
      </c>
      <c r="E56">
        <v>30</v>
      </c>
      <c r="F56">
        <v>31</v>
      </c>
      <c r="G56">
        <v>30</v>
      </c>
      <c r="H56">
        <v>31</v>
      </c>
      <c r="I56">
        <v>31</v>
      </c>
      <c r="J56">
        <v>30</v>
      </c>
      <c r="K56">
        <v>31</v>
      </c>
      <c r="L56">
        <v>30</v>
      </c>
      <c r="M56">
        <v>31</v>
      </c>
    </row>
    <row r="57" spans="1:13" x14ac:dyDescent="0.25">
      <c r="A57" t="s">
        <v>34</v>
      </c>
      <c r="B57" t="s">
        <v>35</v>
      </c>
      <c r="C57" t="s">
        <v>36</v>
      </c>
      <c r="D57" t="s">
        <v>37</v>
      </c>
      <c r="E57" t="s">
        <v>38</v>
      </c>
      <c r="F57" t="s">
        <v>39</v>
      </c>
      <c r="G57" t="s">
        <v>40</v>
      </c>
      <c r="H57" t="s">
        <v>41</v>
      </c>
      <c r="I57" t="s">
        <v>42</v>
      </c>
      <c r="J57" t="s">
        <v>43</v>
      </c>
      <c r="K57" t="s">
        <v>155</v>
      </c>
      <c r="L57" t="s">
        <v>45</v>
      </c>
      <c r="M57" t="s">
        <v>46</v>
      </c>
    </row>
    <row r="58" spans="1:13" x14ac:dyDescent="0.25">
      <c r="A58" t="s">
        <v>48</v>
      </c>
      <c r="B58">
        <f>VLOOKUP(APLICATIU!$J$5,'Aigua recollida'!$A$22:$M$211,2,FALSE)</f>
        <v>47.35</v>
      </c>
      <c r="C58">
        <f>VLOOKUP(APLICATIU!$J$5,'Aigua recollida'!$A$22:$M$211,3,FALSE)</f>
        <v>43.61</v>
      </c>
      <c r="D58">
        <f>VLOOKUP(APLICATIU!$J$5,'Aigua recollida'!$A$22:$M$211,4,FALSE)</f>
        <v>65.53</v>
      </c>
      <c r="E58">
        <f>VLOOKUP(APLICATIU!$J$5,'Aigua recollida'!$A$22:$M$211,5,FALSE)</f>
        <v>84.669999999999987</v>
      </c>
      <c r="F58">
        <f>VLOOKUP(APLICATIU!$J$5,'Aigua recollida'!$A$22:$M$211,6,FALSE)</f>
        <v>84.1</v>
      </c>
      <c r="G58">
        <f>VLOOKUP(APLICATIU!$J$5,'Aigua recollida'!$A$22:$M$211,7,FALSE)</f>
        <v>51.46</v>
      </c>
      <c r="H58">
        <f>VLOOKUP(APLICATIU!$J$5,'Aigua recollida'!$A$22:$M$211,8,FALSE)</f>
        <v>32.830000000000005</v>
      </c>
      <c r="I58">
        <f>VLOOKUP(APLICATIU!$J$5,'Aigua recollida'!$A$22:$M$211,9,FALSE)</f>
        <v>62.5</v>
      </c>
      <c r="J58">
        <f>VLOOKUP(APLICATIU!$J$5,'Aigua recollida'!$A$22:$M$211,10,FALSE)</f>
        <v>61.839999999999996</v>
      </c>
      <c r="K58">
        <f>VLOOKUP(APLICATIU!$J$5,'Aigua recollida'!$A$22:$M$211,11,FALSE)</f>
        <v>80.02000000000001</v>
      </c>
      <c r="L58">
        <f>VLOOKUP(APLICATIU!$J$5,'Aigua recollida'!$A$22:$M$211,12,FALSE)</f>
        <v>70.47</v>
      </c>
      <c r="M58">
        <f>VLOOKUP(APLICATIU!$J$5,'Aigua recollida'!$A$22:$M$211,13,FALSE)</f>
        <v>19.64</v>
      </c>
    </row>
    <row r="59" spans="1:13" x14ac:dyDescent="0.25">
      <c r="A59" t="s">
        <v>162</v>
      </c>
      <c r="B59">
        <v>100</v>
      </c>
      <c r="C59">
        <v>100</v>
      </c>
      <c r="D59">
        <v>100</v>
      </c>
      <c r="E59">
        <v>20</v>
      </c>
      <c r="F59">
        <v>20</v>
      </c>
      <c r="G59">
        <v>0</v>
      </c>
      <c r="H59">
        <v>0</v>
      </c>
      <c r="I59">
        <v>0</v>
      </c>
      <c r="J59">
        <v>20</v>
      </c>
      <c r="K59">
        <v>40</v>
      </c>
      <c r="L59">
        <v>100</v>
      </c>
      <c r="M59">
        <v>100</v>
      </c>
    </row>
    <row r="60" spans="1:13" x14ac:dyDescent="0.25">
      <c r="A60" t="s">
        <v>163</v>
      </c>
      <c r="B60">
        <f>(B58*B59)/100</f>
        <v>47.35</v>
      </c>
      <c r="C60">
        <f t="shared" ref="C60:F60" si="14">(C58*C59)/100</f>
        <v>43.61</v>
      </c>
      <c r="D60">
        <f t="shared" si="14"/>
        <v>65.53</v>
      </c>
      <c r="E60">
        <f t="shared" si="14"/>
        <v>16.933999999999997</v>
      </c>
      <c r="F60">
        <f t="shared" si="14"/>
        <v>16.82</v>
      </c>
      <c r="G60">
        <f t="shared" ref="G60" si="15">(G58*G59)/100</f>
        <v>0</v>
      </c>
      <c r="H60">
        <f t="shared" ref="H60" si="16">(H58*H59)/100</f>
        <v>0</v>
      </c>
      <c r="I60">
        <f t="shared" ref="I60:J60" si="17">(I58*I59)/100</f>
        <v>0</v>
      </c>
      <c r="J60">
        <f t="shared" si="17"/>
        <v>12.368</v>
      </c>
      <c r="K60">
        <f t="shared" ref="K60" si="18">(K58*K59)/100</f>
        <v>32.008000000000003</v>
      </c>
      <c r="L60">
        <f t="shared" ref="L60" si="19">(L58*L59)/100</f>
        <v>70.47</v>
      </c>
      <c r="M60">
        <f t="shared" ref="M60" si="20">(M58*M59)/100</f>
        <v>19.64</v>
      </c>
    </row>
    <row r="61" spans="1:13" x14ac:dyDescent="0.25">
      <c r="A61" t="s">
        <v>164</v>
      </c>
      <c r="B61">
        <v>70</v>
      </c>
      <c r="C61">
        <v>70</v>
      </c>
      <c r="D61">
        <v>70</v>
      </c>
      <c r="E61">
        <v>70</v>
      </c>
      <c r="F61">
        <v>70</v>
      </c>
      <c r="G61">
        <v>70</v>
      </c>
      <c r="H61">
        <v>70</v>
      </c>
      <c r="I61">
        <v>70</v>
      </c>
      <c r="J61">
        <v>70</v>
      </c>
      <c r="K61">
        <v>70</v>
      </c>
      <c r="L61">
        <v>70</v>
      </c>
      <c r="M61">
        <v>70</v>
      </c>
    </row>
    <row r="62" spans="1:13" x14ac:dyDescent="0.25">
      <c r="A62" t="s">
        <v>167</v>
      </c>
      <c r="B62">
        <f>(B60*B61)/100</f>
        <v>33.145000000000003</v>
      </c>
      <c r="C62">
        <f t="shared" ref="C62:M62" si="21">(C60*C61)/100</f>
        <v>30.526999999999997</v>
      </c>
      <c r="D62">
        <f t="shared" si="21"/>
        <v>45.871000000000002</v>
      </c>
      <c r="E62">
        <f t="shared" si="21"/>
        <v>11.8538</v>
      </c>
      <c r="F62">
        <f t="shared" si="21"/>
        <v>11.774000000000001</v>
      </c>
      <c r="G62">
        <f t="shared" si="21"/>
        <v>0</v>
      </c>
      <c r="H62">
        <f t="shared" si="21"/>
        <v>0</v>
      </c>
      <c r="I62">
        <f t="shared" si="21"/>
        <v>0</v>
      </c>
      <c r="J62">
        <f t="shared" si="21"/>
        <v>8.6576000000000004</v>
      </c>
      <c r="K62">
        <f t="shared" si="21"/>
        <v>22.405600000000003</v>
      </c>
      <c r="L62">
        <f t="shared" si="21"/>
        <v>49.328999999999994</v>
      </c>
      <c r="M62">
        <f t="shared" si="21"/>
        <v>13.747999999999999</v>
      </c>
    </row>
    <row r="63" spans="1:13" x14ac:dyDescent="0.25">
      <c r="A63" t="s">
        <v>166</v>
      </c>
      <c r="B63">
        <f>B62/365</f>
        <v>9.0808219178082197E-2</v>
      </c>
      <c r="C63">
        <f t="shared" ref="C63:M63" si="22">C62/365</f>
        <v>8.3635616438356153E-2</v>
      </c>
      <c r="D63">
        <f t="shared" si="22"/>
        <v>0.12567397260273974</v>
      </c>
      <c r="E63">
        <f t="shared" si="22"/>
        <v>3.2476164383561643E-2</v>
      </c>
      <c r="F63">
        <f t="shared" si="22"/>
        <v>3.2257534246575348E-2</v>
      </c>
      <c r="G63">
        <f t="shared" si="22"/>
        <v>0</v>
      </c>
      <c r="H63">
        <f t="shared" si="22"/>
        <v>0</v>
      </c>
      <c r="I63">
        <f t="shared" si="22"/>
        <v>0</v>
      </c>
      <c r="J63">
        <f t="shared" si="22"/>
        <v>2.3719452054794522E-2</v>
      </c>
      <c r="K63">
        <f t="shared" si="22"/>
        <v>6.1385205479452067E-2</v>
      </c>
      <c r="L63">
        <f t="shared" si="22"/>
        <v>0.13514794520547943</v>
      </c>
      <c r="M63">
        <f t="shared" si="22"/>
        <v>3.7665753424657535E-2</v>
      </c>
    </row>
    <row r="66" spans="1:14" x14ac:dyDescent="0.25">
      <c r="B66" t="s">
        <v>35</v>
      </c>
      <c r="C66" t="s">
        <v>36</v>
      </c>
      <c r="D66" t="s">
        <v>37</v>
      </c>
      <c r="E66" t="s">
        <v>38</v>
      </c>
      <c r="F66" t="s">
        <v>39</v>
      </c>
      <c r="G66" t="s">
        <v>40</v>
      </c>
      <c r="H66" t="s">
        <v>41</v>
      </c>
      <c r="I66" t="s">
        <v>42</v>
      </c>
      <c r="J66" t="s">
        <v>43</v>
      </c>
      <c r="K66" t="s">
        <v>155</v>
      </c>
      <c r="L66" t="s">
        <v>45</v>
      </c>
      <c r="M66" t="s">
        <v>46</v>
      </c>
    </row>
    <row r="67" spans="1:14" x14ac:dyDescent="0.25">
      <c r="A67" s="62" t="s">
        <v>158</v>
      </c>
      <c r="B67">
        <f>B11</f>
        <v>38.296774193548387</v>
      </c>
      <c r="C67">
        <f t="shared" ref="C67:M67" si="23">C11</f>
        <v>57.099999999999994</v>
      </c>
      <c r="D67">
        <f t="shared" si="23"/>
        <v>86.425806451612914</v>
      </c>
      <c r="E67">
        <f t="shared" si="23"/>
        <v>112.46666666666664</v>
      </c>
      <c r="F67">
        <f t="shared" si="23"/>
        <v>142.45161290322579</v>
      </c>
      <c r="G67">
        <f t="shared" si="23"/>
        <v>177.23999999999998</v>
      </c>
      <c r="H67">
        <f t="shared" si="23"/>
        <v>189.70322580645163</v>
      </c>
      <c r="I67">
        <f t="shared" si="23"/>
        <v>174.39999999999998</v>
      </c>
      <c r="J67">
        <f t="shared" si="23"/>
        <v>126.07999999999998</v>
      </c>
      <c r="K67">
        <f t="shared" si="23"/>
        <v>80.709677419354833</v>
      </c>
      <c r="L67">
        <f t="shared" si="23"/>
        <v>47.96</v>
      </c>
      <c r="M67">
        <f t="shared" si="23"/>
        <v>34.412903225806446</v>
      </c>
    </row>
    <row r="68" spans="1:14" x14ac:dyDescent="0.25">
      <c r="A68" s="62" t="s">
        <v>23</v>
      </c>
      <c r="B68">
        <f>B18</f>
        <v>206.21339950372206</v>
      </c>
      <c r="C68">
        <f t="shared" ref="C68:M68" si="24">C18</f>
        <v>307.46153846153845</v>
      </c>
      <c r="D68">
        <f t="shared" si="24"/>
        <v>465.3697270471464</v>
      </c>
      <c r="E68">
        <f t="shared" si="24"/>
        <v>605.58974358974342</v>
      </c>
      <c r="F68">
        <f t="shared" si="24"/>
        <v>767.04714640198506</v>
      </c>
      <c r="G68">
        <f t="shared" si="24"/>
        <v>954.36923076923074</v>
      </c>
      <c r="H68">
        <f t="shared" si="24"/>
        <v>1021.4789081885855</v>
      </c>
      <c r="I68">
        <f t="shared" si="24"/>
        <v>939.07692307692298</v>
      </c>
      <c r="J68">
        <f t="shared" si="24"/>
        <v>678.89230769230755</v>
      </c>
      <c r="K68">
        <f t="shared" si="24"/>
        <v>434.59057071960297</v>
      </c>
      <c r="L68">
        <f t="shared" si="24"/>
        <v>258.24615384615379</v>
      </c>
      <c r="M68">
        <f t="shared" si="24"/>
        <v>185.30024813895781</v>
      </c>
    </row>
    <row r="69" spans="1:14" x14ac:dyDescent="0.25">
      <c r="A69" s="62" t="s">
        <v>24</v>
      </c>
      <c r="B69">
        <f>B25</f>
        <v>0</v>
      </c>
      <c r="C69">
        <f t="shared" ref="C69:M69" si="25">C25</f>
        <v>0</v>
      </c>
      <c r="D69">
        <f t="shared" si="25"/>
        <v>0</v>
      </c>
      <c r="E69">
        <f t="shared" si="25"/>
        <v>0</v>
      </c>
      <c r="F69">
        <f t="shared" si="25"/>
        <v>0</v>
      </c>
      <c r="G69">
        <f t="shared" si="25"/>
        <v>0</v>
      </c>
      <c r="H69">
        <f t="shared" si="25"/>
        <v>0</v>
      </c>
      <c r="I69">
        <f t="shared" si="25"/>
        <v>0</v>
      </c>
      <c r="J69">
        <f t="shared" si="25"/>
        <v>0</v>
      </c>
      <c r="K69">
        <f t="shared" si="25"/>
        <v>0</v>
      </c>
      <c r="L69">
        <f t="shared" si="25"/>
        <v>0</v>
      </c>
      <c r="M69">
        <f t="shared" si="25"/>
        <v>0</v>
      </c>
    </row>
    <row r="70" spans="1:14" x14ac:dyDescent="0.25">
      <c r="A70" s="62" t="s">
        <v>25</v>
      </c>
      <c r="B70">
        <f>B32</f>
        <v>0</v>
      </c>
      <c r="C70">
        <f t="shared" ref="C70:M70" si="26">C32</f>
        <v>0</v>
      </c>
      <c r="D70">
        <f t="shared" si="26"/>
        <v>0</v>
      </c>
      <c r="E70">
        <f t="shared" si="26"/>
        <v>0</v>
      </c>
      <c r="F70">
        <f t="shared" si="26"/>
        <v>0</v>
      </c>
      <c r="G70">
        <f t="shared" si="26"/>
        <v>0</v>
      </c>
      <c r="H70">
        <f t="shared" si="26"/>
        <v>0</v>
      </c>
      <c r="I70">
        <f t="shared" si="26"/>
        <v>0</v>
      </c>
      <c r="J70">
        <f t="shared" si="26"/>
        <v>0</v>
      </c>
      <c r="K70">
        <f t="shared" si="26"/>
        <v>0</v>
      </c>
      <c r="L70">
        <f t="shared" si="26"/>
        <v>0</v>
      </c>
      <c r="M70">
        <f t="shared" si="26"/>
        <v>0</v>
      </c>
    </row>
    <row r="71" spans="1:14" x14ac:dyDescent="0.25">
      <c r="A71" s="62" t="s">
        <v>26</v>
      </c>
      <c r="B71">
        <f>B39</f>
        <v>0</v>
      </c>
      <c r="C71">
        <f t="shared" ref="C71:M71" si="27">C39</f>
        <v>0</v>
      </c>
      <c r="D71">
        <f t="shared" si="27"/>
        <v>0</v>
      </c>
      <c r="E71">
        <f t="shared" si="27"/>
        <v>0</v>
      </c>
      <c r="F71">
        <f t="shared" si="27"/>
        <v>0</v>
      </c>
      <c r="G71">
        <f t="shared" si="27"/>
        <v>0</v>
      </c>
      <c r="H71">
        <f t="shared" si="27"/>
        <v>0</v>
      </c>
      <c r="I71">
        <f t="shared" si="27"/>
        <v>0</v>
      </c>
      <c r="J71">
        <f t="shared" si="27"/>
        <v>0</v>
      </c>
      <c r="K71">
        <f t="shared" si="27"/>
        <v>0</v>
      </c>
      <c r="L71">
        <f t="shared" si="27"/>
        <v>0</v>
      </c>
      <c r="M71">
        <f t="shared" si="27"/>
        <v>0</v>
      </c>
    </row>
    <row r="72" spans="1:14" x14ac:dyDescent="0.25">
      <c r="A72" s="62" t="s">
        <v>27</v>
      </c>
      <c r="B72">
        <f>B46</f>
        <v>0</v>
      </c>
      <c r="C72">
        <f t="shared" ref="C72:M72" si="28">C46</f>
        <v>0</v>
      </c>
      <c r="D72">
        <f t="shared" si="28"/>
        <v>0</v>
      </c>
      <c r="E72">
        <f t="shared" si="28"/>
        <v>0</v>
      </c>
      <c r="F72">
        <f t="shared" si="28"/>
        <v>0</v>
      </c>
      <c r="G72">
        <f t="shared" si="28"/>
        <v>0</v>
      </c>
      <c r="H72">
        <f t="shared" si="28"/>
        <v>0</v>
      </c>
      <c r="I72">
        <f t="shared" si="28"/>
        <v>0</v>
      </c>
      <c r="J72">
        <f t="shared" si="28"/>
        <v>0</v>
      </c>
      <c r="K72">
        <f t="shared" si="28"/>
        <v>0</v>
      </c>
      <c r="L72">
        <f t="shared" si="28"/>
        <v>0</v>
      </c>
      <c r="M72">
        <f t="shared" si="28"/>
        <v>0</v>
      </c>
    </row>
    <row r="73" spans="1:14" x14ac:dyDescent="0.25">
      <c r="A73" s="62" t="s">
        <v>28</v>
      </c>
      <c r="B73">
        <f>B53</f>
        <v>0</v>
      </c>
      <c r="C73">
        <f t="shared" ref="C73:M73" si="29">C52</f>
        <v>0</v>
      </c>
      <c r="D73">
        <f t="shared" si="29"/>
        <v>0</v>
      </c>
      <c r="E73">
        <f t="shared" si="29"/>
        <v>0</v>
      </c>
      <c r="F73">
        <f t="shared" si="29"/>
        <v>0</v>
      </c>
      <c r="G73">
        <f t="shared" si="29"/>
        <v>0</v>
      </c>
      <c r="H73">
        <f t="shared" si="29"/>
        <v>0</v>
      </c>
      <c r="I73">
        <f t="shared" si="29"/>
        <v>0</v>
      </c>
      <c r="J73">
        <f t="shared" si="29"/>
        <v>0</v>
      </c>
      <c r="K73">
        <f t="shared" si="29"/>
        <v>0</v>
      </c>
      <c r="L73">
        <f t="shared" si="29"/>
        <v>0</v>
      </c>
      <c r="M73">
        <f t="shared" si="29"/>
        <v>0</v>
      </c>
    </row>
    <row r="74" spans="1:14" x14ac:dyDescent="0.25">
      <c r="A74" s="62" t="s">
        <v>168</v>
      </c>
      <c r="B74" s="62">
        <f>SUM(B67:B73)</f>
        <v>244.51017369727043</v>
      </c>
      <c r="C74" s="62">
        <f>SUM(C67:C73)</f>
        <v>364.56153846153848</v>
      </c>
      <c r="D74" s="62">
        <f t="shared" ref="D74:M74" si="30">SUM(D67:D73)</f>
        <v>551.79553349875937</v>
      </c>
      <c r="E74" s="62">
        <f t="shared" si="30"/>
        <v>718.05641025641012</v>
      </c>
      <c r="F74" s="62">
        <f t="shared" si="30"/>
        <v>909.4987593052108</v>
      </c>
      <c r="G74" s="62">
        <f t="shared" si="30"/>
        <v>1131.6092307692306</v>
      </c>
      <c r="H74" s="62">
        <f t="shared" si="30"/>
        <v>1211.182133995037</v>
      </c>
      <c r="I74" s="62">
        <f t="shared" si="30"/>
        <v>1113.476923076923</v>
      </c>
      <c r="J74" s="62">
        <f t="shared" si="30"/>
        <v>804.9723076923076</v>
      </c>
      <c r="K74" s="62">
        <f t="shared" si="30"/>
        <v>515.30024813895784</v>
      </c>
      <c r="L74" s="62">
        <f t="shared" si="30"/>
        <v>306.20615384615377</v>
      </c>
      <c r="M74" s="62">
        <f t="shared" si="30"/>
        <v>219.71315136476426</v>
      </c>
      <c r="N74" s="62"/>
    </row>
    <row r="75" spans="1:14" x14ac:dyDescent="0.25">
      <c r="A75" s="62" t="s">
        <v>169</v>
      </c>
      <c r="B75">
        <f>B63*$Q$22</f>
        <v>27.242465753424661</v>
      </c>
      <c r="C75">
        <f t="shared" ref="C75:M75" si="31">C63*$Q$22</f>
        <v>25.090684931506846</v>
      </c>
      <c r="D75">
        <f t="shared" si="31"/>
        <v>37.70219178082192</v>
      </c>
      <c r="E75">
        <f t="shared" si="31"/>
        <v>9.7428493150684936</v>
      </c>
      <c r="F75">
        <f t="shared" si="31"/>
        <v>9.677260273972605</v>
      </c>
      <c r="G75">
        <f t="shared" si="31"/>
        <v>0</v>
      </c>
      <c r="H75">
        <f t="shared" si="31"/>
        <v>0</v>
      </c>
      <c r="I75">
        <f t="shared" si="31"/>
        <v>0</v>
      </c>
      <c r="J75">
        <f t="shared" si="31"/>
        <v>7.115835616438356</v>
      </c>
      <c r="K75">
        <f t="shared" si="31"/>
        <v>18.41556164383562</v>
      </c>
      <c r="L75">
        <f>L63*$Q$22</f>
        <v>40.544383561643826</v>
      </c>
      <c r="M75">
        <f t="shared" si="31"/>
        <v>11.299726027397261</v>
      </c>
    </row>
    <row r="76" spans="1:14" x14ac:dyDescent="0.25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 t="s">
        <v>173</v>
      </c>
    </row>
    <row r="77" spans="1:14" x14ac:dyDescent="0.25">
      <c r="A77" s="62" t="s">
        <v>174</v>
      </c>
      <c r="B77">
        <f>B74-B75</f>
        <v>217.26770794384578</v>
      </c>
      <c r="C77">
        <f t="shared" ref="C77:M77" si="32">C74-C75</f>
        <v>339.4708535300316</v>
      </c>
      <c r="D77">
        <f t="shared" si="32"/>
        <v>514.09334171793739</v>
      </c>
      <c r="E77">
        <f t="shared" si="32"/>
        <v>708.31356094134162</v>
      </c>
      <c r="F77">
        <f t="shared" si="32"/>
        <v>899.8214990312382</v>
      </c>
      <c r="G77">
        <f t="shared" si="32"/>
        <v>1131.6092307692306</v>
      </c>
      <c r="H77">
        <f t="shared" si="32"/>
        <v>1211.182133995037</v>
      </c>
      <c r="I77">
        <f t="shared" si="32"/>
        <v>1113.476923076923</v>
      </c>
      <c r="J77">
        <f t="shared" si="32"/>
        <v>797.85647207586919</v>
      </c>
      <c r="K77">
        <f t="shared" si="32"/>
        <v>496.8846864951222</v>
      </c>
      <c r="L77">
        <f t="shared" si="32"/>
        <v>265.66177028450994</v>
      </c>
      <c r="M77">
        <f t="shared" si="32"/>
        <v>208.41342533736699</v>
      </c>
      <c r="N77" s="71">
        <f>MAX(B77:M77)</f>
        <v>1211.182133995037</v>
      </c>
    </row>
    <row r="79" spans="1:14" x14ac:dyDescent="0.25">
      <c r="A79" s="62"/>
    </row>
  </sheetData>
  <sheetProtection algorithmName="SHA-512" hashValue="uh7gEfC7peo7YIbQqYJqL08504ya80Ik290jLxsmK2eG92kXjz9dpXmPDXXv3ZVxBM5x1KZhDn+4xCz+J41EIg==" saltValue="Vh3LVUZR8PsW0mcTgIvXkQ==" spinCount="100000"/>
  <mergeCells count="8">
    <mergeCell ref="S16:S17"/>
    <mergeCell ref="P11:P13"/>
    <mergeCell ref="P16:P17"/>
    <mergeCell ref="Q11:Q13"/>
    <mergeCell ref="R11:R13"/>
    <mergeCell ref="S11:S13"/>
    <mergeCell ref="Q16:Q17"/>
    <mergeCell ref="R16:R17"/>
  </mergeCells>
  <conditionalFormatting sqref="P11:P12 P14:P16 P18:P22">
    <cfRule type="expression" dxfId="2" priority="1">
      <formula>$D$32&gt;0</formula>
    </cfRule>
    <cfRule type="expression" dxfId="1" priority="2">
      <formula>$D$30&gt;0</formula>
    </cfRule>
    <cfRule type="expression" dxfId="0" priority="3">
      <formula>$D$30=0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B2:AA36"/>
  <sheetViews>
    <sheetView topLeftCell="M1" workbookViewId="0">
      <selection activeCell="N2" sqref="N2:O3"/>
    </sheetView>
  </sheetViews>
  <sheetFormatPr defaultColWidth="11.42578125" defaultRowHeight="15" x14ac:dyDescent="0.25"/>
  <cols>
    <col min="3" max="3" width="12.140625" customWidth="1"/>
    <col min="8" max="8" width="13.7109375" bestFit="1" customWidth="1"/>
    <col min="15" max="15" width="14.85546875" bestFit="1" customWidth="1"/>
    <col min="16" max="16" width="14.85546875" customWidth="1"/>
    <col min="18" max="18" width="12.85546875" bestFit="1" customWidth="1"/>
  </cols>
  <sheetData>
    <row r="2" spans="2:27" x14ac:dyDescent="0.25">
      <c r="B2" t="s">
        <v>93</v>
      </c>
      <c r="E2" t="s">
        <v>95</v>
      </c>
      <c r="H2" t="s">
        <v>97</v>
      </c>
      <c r="K2" t="s">
        <v>99</v>
      </c>
      <c r="R2" t="s">
        <v>102</v>
      </c>
      <c r="U2" t="s">
        <v>112</v>
      </c>
    </row>
    <row r="3" spans="2:27" x14ac:dyDescent="0.25">
      <c r="B3" s="1" t="s">
        <v>89</v>
      </c>
      <c r="C3" s="1" t="s">
        <v>94</v>
      </c>
      <c r="E3" s="1" t="s">
        <v>89</v>
      </c>
      <c r="F3" s="1" t="s">
        <v>94</v>
      </c>
      <c r="H3" s="1" t="s">
        <v>98</v>
      </c>
      <c r="I3" s="1" t="s">
        <v>94</v>
      </c>
      <c r="K3" s="1" t="s">
        <v>98</v>
      </c>
      <c r="L3" s="1" t="s">
        <v>100</v>
      </c>
      <c r="M3" s="1" t="s">
        <v>101</v>
      </c>
      <c r="N3" s="1" t="s">
        <v>47</v>
      </c>
      <c r="O3" s="1" t="s">
        <v>122</v>
      </c>
      <c r="P3" s="1" t="s">
        <v>94</v>
      </c>
      <c r="R3" s="1" t="s">
        <v>103</v>
      </c>
      <c r="S3" s="1" t="s">
        <v>94</v>
      </c>
      <c r="U3" s="1" t="s">
        <v>108</v>
      </c>
      <c r="V3" s="1" t="s">
        <v>109</v>
      </c>
      <c r="W3" s="1" t="s">
        <v>110</v>
      </c>
      <c r="X3" s="1" t="s">
        <v>94</v>
      </c>
    </row>
    <row r="4" spans="2:27" x14ac:dyDescent="0.25">
      <c r="B4" s="2">
        <v>20</v>
      </c>
      <c r="C4" s="34">
        <v>1.77</v>
      </c>
      <c r="D4" t="e">
        <f>IF(#REF!&lt;=B4,1,0)</f>
        <v>#REF!</v>
      </c>
      <c r="E4" s="2">
        <v>75</v>
      </c>
      <c r="F4" s="34">
        <v>4.7300000000000004</v>
      </c>
      <c r="H4" s="36">
        <v>1.3</v>
      </c>
      <c r="I4" s="33">
        <v>245</v>
      </c>
      <c r="K4" s="37">
        <v>43</v>
      </c>
      <c r="L4" s="33">
        <v>69.94</v>
      </c>
      <c r="M4" s="33">
        <v>18.510000000000002</v>
      </c>
      <c r="N4" s="33">
        <f>L4+M4</f>
        <v>88.45</v>
      </c>
      <c r="O4" s="33" t="s">
        <v>119</v>
      </c>
      <c r="P4" s="33">
        <v>249</v>
      </c>
      <c r="R4" s="38">
        <v>80</v>
      </c>
      <c r="S4" s="39">
        <v>25.5</v>
      </c>
      <c r="U4" s="42">
        <v>34</v>
      </c>
      <c r="V4" s="31">
        <v>4.2</v>
      </c>
      <c r="W4" s="43">
        <v>0.65</v>
      </c>
      <c r="X4" s="39">
        <v>358</v>
      </c>
    </row>
    <row r="5" spans="2:27" x14ac:dyDescent="0.25">
      <c r="B5" s="2">
        <v>25</v>
      </c>
      <c r="C5" s="34">
        <v>2.7</v>
      </c>
      <c r="D5">
        <f>IF(AND($H$21&lt;=B5,$H$21&gt;B4),1,0)</f>
        <v>0</v>
      </c>
      <c r="H5" s="36">
        <v>2.6</v>
      </c>
      <c r="I5" s="33">
        <v>570</v>
      </c>
      <c r="K5" s="37">
        <v>94</v>
      </c>
      <c r="L5" s="33">
        <v>83.31</v>
      </c>
      <c r="M5" s="33">
        <v>21.6</v>
      </c>
      <c r="N5" s="33">
        <f t="shared" ref="N5:N11" si="0">L5+M5</f>
        <v>104.91</v>
      </c>
      <c r="O5" s="33" t="s">
        <v>119</v>
      </c>
      <c r="P5" s="33">
        <v>249</v>
      </c>
      <c r="R5" s="38">
        <v>160</v>
      </c>
      <c r="S5" s="39">
        <f>S4+25.5</f>
        <v>51</v>
      </c>
      <c r="U5" s="42">
        <v>45</v>
      </c>
      <c r="V5" s="31">
        <v>4.2</v>
      </c>
      <c r="W5" s="43">
        <v>0.77</v>
      </c>
      <c r="X5" s="39">
        <v>370.8</v>
      </c>
    </row>
    <row r="6" spans="2:27" x14ac:dyDescent="0.25">
      <c r="B6" s="2">
        <v>32</v>
      </c>
      <c r="C6" s="34">
        <v>4.45</v>
      </c>
      <c r="D6">
        <f t="shared" ref="D6:D10" si="1">IF(AND($H$21&lt;=B6,$H$21&gt;B5),1,0)</f>
        <v>0</v>
      </c>
      <c r="E6" t="s">
        <v>96</v>
      </c>
      <c r="F6">
        <v>0.5</v>
      </c>
      <c r="H6" s="36">
        <v>3.2</v>
      </c>
      <c r="I6" s="33">
        <v>755</v>
      </c>
      <c r="K6" s="37">
        <v>190</v>
      </c>
      <c r="L6" s="33">
        <v>159.41999999999999</v>
      </c>
      <c r="M6" s="33">
        <v>26.74</v>
      </c>
      <c r="N6" s="33">
        <f t="shared" si="0"/>
        <v>186.16</v>
      </c>
      <c r="O6" s="33" t="s">
        <v>119</v>
      </c>
      <c r="P6" s="33">
        <v>249</v>
      </c>
      <c r="R6" s="38">
        <v>240</v>
      </c>
      <c r="S6" s="39">
        <f t="shared" ref="S6:S8" si="2">S5+25.5</f>
        <v>76.5</v>
      </c>
      <c r="U6" s="42">
        <v>58</v>
      </c>
      <c r="V6" s="31">
        <v>4.2</v>
      </c>
      <c r="W6" s="43">
        <v>1.01</v>
      </c>
      <c r="X6" s="39">
        <v>392.7</v>
      </c>
      <c r="Z6" t="s">
        <v>109</v>
      </c>
      <c r="AA6" s="116">
        <f>APLICATIU!P34</f>
        <v>1.6530710189124076</v>
      </c>
    </row>
    <row r="7" spans="2:27" x14ac:dyDescent="0.25">
      <c r="B7" s="2">
        <v>40</v>
      </c>
      <c r="C7" s="34">
        <v>6.9</v>
      </c>
      <c r="D7">
        <f t="shared" si="1"/>
        <v>0</v>
      </c>
      <c r="H7" s="36">
        <v>3.9</v>
      </c>
      <c r="I7" s="33">
        <v>825</v>
      </c>
      <c r="K7" s="37">
        <v>297</v>
      </c>
      <c r="L7" s="33">
        <v>171.76</v>
      </c>
      <c r="M7" s="33">
        <v>31.88</v>
      </c>
      <c r="N7" s="33">
        <f t="shared" si="0"/>
        <v>203.64</v>
      </c>
      <c r="O7" s="33" t="s">
        <v>120</v>
      </c>
      <c r="P7" s="33">
        <v>399</v>
      </c>
      <c r="R7" s="38">
        <v>320</v>
      </c>
      <c r="S7" s="39">
        <f t="shared" si="2"/>
        <v>102</v>
      </c>
      <c r="U7" s="42">
        <v>35</v>
      </c>
      <c r="V7" s="31">
        <v>7.2</v>
      </c>
      <c r="W7" s="43">
        <v>0.78</v>
      </c>
      <c r="X7" s="39">
        <v>443</v>
      </c>
      <c r="Z7" t="s">
        <v>108</v>
      </c>
      <c r="AA7" s="117">
        <f>APLICATIU!S34</f>
        <v>22.5</v>
      </c>
    </row>
    <row r="8" spans="2:27" x14ac:dyDescent="0.25">
      <c r="B8" s="2">
        <v>50</v>
      </c>
      <c r="C8" s="34">
        <v>10.66</v>
      </c>
      <c r="D8">
        <f t="shared" si="1"/>
        <v>0</v>
      </c>
      <c r="H8" s="36">
        <v>4.8</v>
      </c>
      <c r="I8" s="33">
        <v>1150</v>
      </c>
      <c r="K8" s="37">
        <v>486</v>
      </c>
      <c r="L8" s="33">
        <v>212.9</v>
      </c>
      <c r="M8" s="33">
        <v>42.17</v>
      </c>
      <c r="N8" s="33">
        <f t="shared" si="0"/>
        <v>255.07</v>
      </c>
      <c r="O8" s="33" t="s">
        <v>120</v>
      </c>
      <c r="P8" s="33">
        <v>399</v>
      </c>
      <c r="R8" s="38">
        <v>400</v>
      </c>
      <c r="S8" s="39">
        <f t="shared" si="2"/>
        <v>127.5</v>
      </c>
      <c r="U8" s="42">
        <v>47</v>
      </c>
      <c r="V8" s="31">
        <v>7.2</v>
      </c>
      <c r="W8" s="43">
        <v>1.07</v>
      </c>
      <c r="X8" s="39">
        <v>448.4</v>
      </c>
      <c r="Z8" t="s">
        <v>228</v>
      </c>
      <c r="AA8">
        <f>IF(AND(AA6&lt;=V4,AA7&lt;=U4),X4,IF(AND(AA6&lt;=V5,AA7&lt;=U5),X5,IF(AND(AA6&lt;=V6,AA7&lt;=U6),X6,FALSE)))</f>
        <v>358</v>
      </c>
    </row>
    <row r="9" spans="2:27" x14ac:dyDescent="0.25">
      <c r="B9" s="2">
        <v>63</v>
      </c>
      <c r="C9" s="34">
        <v>16.649999999999999</v>
      </c>
      <c r="D9">
        <f t="shared" si="1"/>
        <v>0</v>
      </c>
      <c r="H9" s="36">
        <v>6.4</v>
      </c>
      <c r="I9" s="33">
        <v>1540</v>
      </c>
      <c r="K9" s="37">
        <v>905</v>
      </c>
      <c r="L9" s="33">
        <v>338.38</v>
      </c>
      <c r="M9" s="33">
        <v>48.34</v>
      </c>
      <c r="N9" s="33">
        <f t="shared" si="0"/>
        <v>386.72</v>
      </c>
      <c r="O9" s="33" t="s">
        <v>121</v>
      </c>
      <c r="P9" s="33">
        <v>545</v>
      </c>
      <c r="U9" s="42">
        <v>59</v>
      </c>
      <c r="V9" s="31">
        <v>7.2</v>
      </c>
      <c r="W9" s="43">
        <v>1.31</v>
      </c>
      <c r="X9" s="39">
        <v>532.5</v>
      </c>
      <c r="Z9" t="s">
        <v>229</v>
      </c>
      <c r="AA9">
        <f>IF(AND(AA6&lt;=V7,AA7&lt;=U7),X7,IF(AND(AA6&lt;=V8,AA7&lt;=U8),X8,IF(AND(AA6&lt;=V9,AA7&lt;=U9),X9,FALSE)))</f>
        <v>443</v>
      </c>
    </row>
    <row r="10" spans="2:27" x14ac:dyDescent="0.25">
      <c r="B10" s="2">
        <v>75</v>
      </c>
      <c r="C10" s="34">
        <v>23.85</v>
      </c>
      <c r="D10">
        <f t="shared" si="1"/>
        <v>0</v>
      </c>
      <c r="H10" s="36">
        <v>9</v>
      </c>
      <c r="I10" s="33">
        <v>2800</v>
      </c>
      <c r="K10" s="37">
        <v>1002</v>
      </c>
      <c r="L10" s="33">
        <v>370.26</v>
      </c>
      <c r="M10" s="33">
        <v>48.34</v>
      </c>
      <c r="N10" s="33">
        <f t="shared" si="0"/>
        <v>418.6</v>
      </c>
      <c r="O10" s="33" t="s">
        <v>121</v>
      </c>
      <c r="P10" s="33">
        <v>545</v>
      </c>
      <c r="R10" s="1" t="s">
        <v>104</v>
      </c>
      <c r="S10" s="39">
        <v>10.199999999999999</v>
      </c>
      <c r="Z10" t="s">
        <v>227</v>
      </c>
      <c r="AA10">
        <f>IF(AA6&lt;=V4,V4,V7)</f>
        <v>4.2</v>
      </c>
    </row>
    <row r="11" spans="2:27" x14ac:dyDescent="0.25">
      <c r="K11" s="37">
        <v>1050</v>
      </c>
      <c r="L11" s="33">
        <v>397</v>
      </c>
      <c r="M11" s="33">
        <v>91.54</v>
      </c>
      <c r="N11" s="33">
        <f t="shared" si="0"/>
        <v>488.54</v>
      </c>
      <c r="O11" s="33" t="s">
        <v>121</v>
      </c>
      <c r="P11" s="33">
        <v>545</v>
      </c>
      <c r="U11" s="1" t="s">
        <v>111</v>
      </c>
      <c r="V11" s="39">
        <v>110</v>
      </c>
    </row>
    <row r="12" spans="2:27" x14ac:dyDescent="0.25">
      <c r="B12" t="s">
        <v>96</v>
      </c>
      <c r="C12" s="35">
        <v>8</v>
      </c>
      <c r="R12" s="1" t="s">
        <v>105</v>
      </c>
      <c r="S12" s="39">
        <v>2.4500000000000002</v>
      </c>
      <c r="Z12" t="s">
        <v>94</v>
      </c>
      <c r="AA12">
        <f>IF(AA10=7.2,AA9,AA8)</f>
        <v>358</v>
      </c>
    </row>
    <row r="13" spans="2:27" x14ac:dyDescent="0.25">
      <c r="K13" s="1" t="s">
        <v>113</v>
      </c>
      <c r="L13" s="39">
        <v>685.4</v>
      </c>
    </row>
    <row r="14" spans="2:27" x14ac:dyDescent="0.25">
      <c r="R14" t="s">
        <v>106</v>
      </c>
    </row>
    <row r="15" spans="2:27" x14ac:dyDescent="0.25">
      <c r="H15" t="s">
        <v>117</v>
      </c>
      <c r="K15" t="s">
        <v>114</v>
      </c>
      <c r="R15" s="1" t="s">
        <v>107</v>
      </c>
      <c r="S15" s="1" t="s">
        <v>94</v>
      </c>
      <c r="U15" s="1" t="s">
        <v>116</v>
      </c>
      <c r="V15" s="1" t="s">
        <v>115</v>
      </c>
    </row>
    <row r="16" spans="2:27" x14ac:dyDescent="0.25">
      <c r="B16" t="s">
        <v>224</v>
      </c>
      <c r="C16">
        <f>VLOOKUP(1,Consum!F25:H30,3,FALSE)</f>
        <v>25</v>
      </c>
      <c r="H16" s="1" t="s">
        <v>118</v>
      </c>
      <c r="I16" s="1" t="s">
        <v>94</v>
      </c>
      <c r="K16" s="1" t="s">
        <v>107</v>
      </c>
      <c r="L16" s="1" t="s">
        <v>94</v>
      </c>
      <c r="R16" s="41">
        <v>0.375</v>
      </c>
      <c r="S16" s="39">
        <v>44.38</v>
      </c>
      <c r="U16" s="2">
        <v>20</v>
      </c>
      <c r="V16" s="41">
        <v>0.75</v>
      </c>
    </row>
    <row r="17" spans="2:22" x14ac:dyDescent="0.25">
      <c r="B17" t="s">
        <v>94</v>
      </c>
      <c r="C17">
        <f>VLOOKUP(C16,B4:C10,2,FALSE)</f>
        <v>2.7</v>
      </c>
      <c r="H17" s="2" t="s">
        <v>119</v>
      </c>
      <c r="I17" s="33">
        <v>249</v>
      </c>
      <c r="K17" s="41">
        <v>0.5</v>
      </c>
      <c r="L17" s="39">
        <v>144</v>
      </c>
      <c r="R17" s="41">
        <v>0.5</v>
      </c>
      <c r="S17" s="39">
        <v>50.87</v>
      </c>
      <c r="U17" s="2">
        <v>25</v>
      </c>
      <c r="V17" s="41">
        <v>1</v>
      </c>
    </row>
    <row r="18" spans="2:22" x14ac:dyDescent="0.25">
      <c r="H18" s="2" t="s">
        <v>120</v>
      </c>
      <c r="I18" s="33">
        <v>399</v>
      </c>
      <c r="K18" s="41">
        <v>0.75</v>
      </c>
      <c r="L18" s="39">
        <v>152.5</v>
      </c>
      <c r="R18" s="41">
        <v>0.75</v>
      </c>
      <c r="S18" s="39">
        <v>76.510000000000005</v>
      </c>
      <c r="U18" s="2">
        <v>32</v>
      </c>
      <c r="V18" s="41">
        <v>1.25</v>
      </c>
    </row>
    <row r="19" spans="2:22" x14ac:dyDescent="0.25">
      <c r="H19" s="2" t="s">
        <v>121</v>
      </c>
      <c r="I19" s="33">
        <v>545</v>
      </c>
      <c r="K19" s="41">
        <v>1</v>
      </c>
      <c r="L19" s="39">
        <v>265.5</v>
      </c>
      <c r="R19" s="41">
        <v>1</v>
      </c>
      <c r="S19" s="39">
        <v>102.71</v>
      </c>
      <c r="U19" s="2">
        <v>40</v>
      </c>
      <c r="V19" s="41">
        <v>1.5</v>
      </c>
    </row>
    <row r="20" spans="2:22" x14ac:dyDescent="0.25">
      <c r="K20" s="41">
        <v>1.25</v>
      </c>
      <c r="L20" s="39">
        <v>302.89999999999998</v>
      </c>
      <c r="R20" s="41">
        <v>1.25</v>
      </c>
      <c r="S20" s="39">
        <v>145.81</v>
      </c>
      <c r="U20" s="2">
        <v>50</v>
      </c>
      <c r="V20" s="41">
        <v>2</v>
      </c>
    </row>
    <row r="21" spans="2:22" x14ac:dyDescent="0.25">
      <c r="K21" s="41">
        <v>1.5</v>
      </c>
      <c r="L21" s="39">
        <v>474.5</v>
      </c>
      <c r="R21" s="41">
        <v>1.5</v>
      </c>
      <c r="S21" s="39">
        <v>183.94</v>
      </c>
      <c r="U21" s="2">
        <v>63</v>
      </c>
      <c r="V21" s="41">
        <v>2.5</v>
      </c>
    </row>
    <row r="22" spans="2:22" x14ac:dyDescent="0.25">
      <c r="K22" s="41">
        <v>2</v>
      </c>
      <c r="L22" s="39">
        <v>890.3</v>
      </c>
      <c r="R22" s="41">
        <v>2</v>
      </c>
      <c r="S22" s="39">
        <v>264.92</v>
      </c>
      <c r="U22" s="2">
        <v>75</v>
      </c>
      <c r="V22" s="41">
        <v>3</v>
      </c>
    </row>
    <row r="23" spans="2:22" x14ac:dyDescent="0.25">
      <c r="R23" s="40"/>
    </row>
    <row r="24" spans="2:22" ht="30" x14ac:dyDescent="0.25">
      <c r="K24" s="114" t="s">
        <v>226</v>
      </c>
      <c r="L24" s="40">
        <f>VLOOKUP(C16,U16:V22,2,FALSE)</f>
        <v>1</v>
      </c>
      <c r="R24" s="115" t="s">
        <v>225</v>
      </c>
      <c r="S24" s="40">
        <f>VLOOKUP(C16,U16:V22,2,FALSE)</f>
        <v>1</v>
      </c>
    </row>
    <row r="26" spans="2:22" x14ac:dyDescent="0.25">
      <c r="B26" t="s">
        <v>230</v>
      </c>
      <c r="F26" t="s">
        <v>232</v>
      </c>
    </row>
    <row r="27" spans="2:22" x14ac:dyDescent="0.25">
      <c r="B27" s="1" t="s">
        <v>109</v>
      </c>
      <c r="C27" s="1" t="s">
        <v>231</v>
      </c>
      <c r="D27" s="1" t="s">
        <v>235</v>
      </c>
      <c r="F27" s="1" t="s">
        <v>109</v>
      </c>
      <c r="G27" s="1" t="s">
        <v>233</v>
      </c>
      <c r="H27" s="1" t="s">
        <v>234</v>
      </c>
      <c r="K27" s="116"/>
      <c r="L27" s="187"/>
    </row>
    <row r="28" spans="2:22" x14ac:dyDescent="0.25">
      <c r="B28" s="121">
        <v>0.2</v>
      </c>
      <c r="C28" s="122">
        <v>120.1</v>
      </c>
      <c r="D28" s="122">
        <v>506</v>
      </c>
      <c r="E28" s="123"/>
      <c r="F28" s="121">
        <v>0.2</v>
      </c>
      <c r="G28" s="122">
        <v>38.4</v>
      </c>
      <c r="H28" s="122">
        <v>12.9</v>
      </c>
      <c r="K28" s="116"/>
      <c r="L28" s="187"/>
    </row>
    <row r="29" spans="2:22" x14ac:dyDescent="0.25">
      <c r="B29" s="121">
        <v>0.6</v>
      </c>
      <c r="C29" s="122">
        <v>184.3</v>
      </c>
      <c r="D29" s="122">
        <v>440</v>
      </c>
      <c r="F29" s="121">
        <v>0.6</v>
      </c>
      <c r="G29" s="122">
        <v>71.599999999999994</v>
      </c>
      <c r="H29" s="122">
        <v>59.8</v>
      </c>
      <c r="K29" s="116"/>
      <c r="L29" s="187"/>
    </row>
    <row r="30" spans="2:22" x14ac:dyDescent="0.25">
      <c r="B30" s="121">
        <v>1.4</v>
      </c>
      <c r="C30" s="122">
        <v>504.1</v>
      </c>
      <c r="D30" s="122">
        <v>484</v>
      </c>
      <c r="F30" s="121">
        <v>1.4</v>
      </c>
      <c r="G30" s="122">
        <v>105.6</v>
      </c>
      <c r="H30" s="122">
        <v>52.8</v>
      </c>
    </row>
    <row r="32" spans="2:22" ht="25.5" customHeight="1" x14ac:dyDescent="0.25">
      <c r="B32" s="129" t="s">
        <v>239</v>
      </c>
      <c r="C32" s="130">
        <f>IF(AND(APLICATIU!R12&gt;0,APLICATIU!R12&lt;=0.2),0.2,IF(AND(APLICATIU!R12&gt;0.2,APLICATIU!R12&lt;=0.6),0.6,IF(AND(APLICATIU!R12&gt;0.6,APLICATIU!R12&lt;=1.4),1.4,IF(AND(APLICATIU!R12&gt;1.4,APLICATIU!R12&lt;=400),1.4,FALSE))))</f>
        <v>1.4</v>
      </c>
    </row>
    <row r="33" spans="5:5" x14ac:dyDescent="0.25">
      <c r="E33" s="116"/>
    </row>
    <row r="34" spans="5:5" x14ac:dyDescent="0.25">
      <c r="E34" s="116"/>
    </row>
    <row r="35" spans="5:5" x14ac:dyDescent="0.25">
      <c r="E35" s="116"/>
    </row>
    <row r="36" spans="5:5" x14ac:dyDescent="0.25">
      <c r="E36" s="116"/>
    </row>
  </sheetData>
  <sheetProtection algorithmName="SHA-512" hashValue="1gWLiJlz0WGa0a9XMZOOJVsw2WFdha4kcevQFHZJNHTXQVzqNNviXrcqGsAO/B12RzV7O3zYGiLX8NmKtGql+g==" saltValue="vOYaFCOxnO0/kMrNJkKZ4w==" spinCount="100000"/>
  <dataValidations disablePrompts="1" count="1">
    <dataValidation type="list" allowBlank="1" showInputMessage="1" showErrorMessage="1" sqref="O4:O11" xr:uid="{00000000-0002-0000-0900-000000000000}">
      <formula1>$H$17:$H$19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F82"/>
  <sheetViews>
    <sheetView topLeftCell="A71" zoomScaleNormal="100" workbookViewId="0">
      <selection activeCell="N2" sqref="N2:O3"/>
    </sheetView>
  </sheetViews>
  <sheetFormatPr defaultColWidth="11.42578125" defaultRowHeight="15" x14ac:dyDescent="0.25"/>
  <cols>
    <col min="1" max="1" width="16.5703125" customWidth="1"/>
    <col min="2" max="2" width="48.85546875" bestFit="1" customWidth="1"/>
    <col min="5" max="5" width="16.140625" bestFit="1" customWidth="1"/>
  </cols>
  <sheetData>
    <row r="1" spans="1:6" x14ac:dyDescent="0.25">
      <c r="A1" s="44"/>
      <c r="B1" s="45"/>
      <c r="C1" s="45"/>
      <c r="D1" s="45"/>
      <c r="E1" s="45"/>
    </row>
    <row r="2" spans="1:6" x14ac:dyDescent="0.25">
      <c r="A2" s="45"/>
      <c r="B2" s="45"/>
      <c r="C2" s="45"/>
      <c r="D2" s="45"/>
      <c r="E2" s="45"/>
    </row>
    <row r="3" spans="1:6" x14ac:dyDescent="0.25">
      <c r="A3" s="44" t="s">
        <v>123</v>
      </c>
      <c r="B3" s="45"/>
      <c r="C3" s="45"/>
      <c r="D3" s="45"/>
      <c r="E3" s="45"/>
    </row>
    <row r="4" spans="1:6" x14ac:dyDescent="0.25">
      <c r="A4" s="45"/>
      <c r="B4" s="45"/>
      <c r="C4" s="45"/>
      <c r="D4" s="45"/>
      <c r="E4" s="45"/>
    </row>
    <row r="5" spans="1:6" x14ac:dyDescent="0.25">
      <c r="A5" s="45"/>
      <c r="B5" s="45"/>
      <c r="C5" s="45"/>
      <c r="D5" s="45"/>
      <c r="E5" s="45"/>
    </row>
    <row r="6" spans="1:6" x14ac:dyDescent="0.25">
      <c r="A6" s="46" t="s">
        <v>124</v>
      </c>
      <c r="B6" s="49" t="s">
        <v>125</v>
      </c>
      <c r="C6" s="46" t="s">
        <v>126</v>
      </c>
      <c r="D6" s="46" t="s">
        <v>127</v>
      </c>
      <c r="E6" s="46" t="s">
        <v>128</v>
      </c>
    </row>
    <row r="7" spans="1:6" x14ac:dyDescent="0.25">
      <c r="A7" s="47">
        <v>1</v>
      </c>
      <c r="B7" s="50" t="s">
        <v>100</v>
      </c>
      <c r="C7" s="55">
        <f>VLOOKUP(F7,Tarifes!H4:I10,2,FALSE)</f>
        <v>2800</v>
      </c>
      <c r="D7" s="59">
        <v>1</v>
      </c>
      <c r="E7" s="55">
        <f>C7*D7</f>
        <v>2800</v>
      </c>
      <c r="F7">
        <f>IF(AND(APLICATIU!K30&gt;0,APLICATIU!K30&lt;=1.3),1.3,IF(AND(APLICATIU!K30&gt;1.3,APLICATIU!K30&lt;=2.6),2.6,IF(AND(APLICATIU!K30&gt;2.6,APLICATIU!K30&lt;=3.2),3.2,IF(AND(APLICATIU!K30&gt;3.2,APLICATIU!K30&lt;=3.9),3.9,IF(AND(APLICATIU!K30&gt;3.9,APLICATIU!K30&lt;=4.8),4.8,IF(AND(APLICATIU!K30&gt;4.8,APLICATIU!K30&lt;=6.4),6.4,IF(AND(APLICATIU!K30&gt;6.4,APLICATIU!K30&lt;=9),9,IF(AND(APLICATIU!K30&gt;9,APLICATIU!K30&lt;=10000000),9))))))))</f>
        <v>9</v>
      </c>
    </row>
    <row r="8" spans="1:6" x14ac:dyDescent="0.25">
      <c r="A8" s="47">
        <v>2</v>
      </c>
      <c r="B8" s="50" t="s">
        <v>144</v>
      </c>
      <c r="C8" s="55" t="e">
        <f>VLOOKUP(F8,Tarifes!R4:S8,2,FALSE)</f>
        <v>#N/A</v>
      </c>
      <c r="D8" s="59">
        <v>1</v>
      </c>
      <c r="E8" s="55" t="e">
        <f>C8*D8</f>
        <v>#N/A</v>
      </c>
      <c r="F8" t="b">
        <f>IF(AND(APLICATIU!K9&gt;0,APLICATIU!K9&lt;=80),80,IF(AND(APLICATIU!K9&gt;80,APLICATIU!K9&lt;=160),160,IF(AND(APLICATIU!K9&gt;160,APLICATIU!K9&lt;=240),240,IF(AND(APLICATIU!K9&gt;240,APLICATIU!K9&lt;=320),320,IF(AND(APLICATIU!K9&gt;320,APLICATIU!K9&lt;=400),400,FALSE)))))</f>
        <v>0</v>
      </c>
    </row>
    <row r="9" spans="1:6" x14ac:dyDescent="0.25">
      <c r="A9" s="47">
        <v>3</v>
      </c>
      <c r="B9" s="51" t="s">
        <v>104</v>
      </c>
      <c r="C9" s="55">
        <f>Tarifes!S10</f>
        <v>10.199999999999999</v>
      </c>
      <c r="D9" s="59">
        <v>1</v>
      </c>
      <c r="E9" s="55">
        <v>10.199999999999999</v>
      </c>
    </row>
    <row r="10" spans="1:6" x14ac:dyDescent="0.25">
      <c r="A10" s="47">
        <v>4</v>
      </c>
      <c r="B10" s="51" t="s">
        <v>145</v>
      </c>
      <c r="C10" s="55">
        <f>Tarifes!S12</f>
        <v>2.4500000000000002</v>
      </c>
      <c r="D10" s="59">
        <v>2</v>
      </c>
      <c r="E10" s="55">
        <f>C10*D10</f>
        <v>4.9000000000000004</v>
      </c>
    </row>
    <row r="11" spans="1:6" ht="24" x14ac:dyDescent="0.25">
      <c r="A11" s="47"/>
      <c r="B11" s="51" t="s">
        <v>129</v>
      </c>
      <c r="C11" s="55"/>
      <c r="D11" s="59"/>
      <c r="E11" s="60" t="e">
        <f>SUM(E7:E10)</f>
        <v>#N/A</v>
      </c>
    </row>
    <row r="12" spans="1:6" x14ac:dyDescent="0.25">
      <c r="A12" s="48"/>
      <c r="B12" s="48"/>
      <c r="C12" s="48"/>
      <c r="D12" s="48"/>
      <c r="E12" s="48"/>
    </row>
    <row r="13" spans="1:6" x14ac:dyDescent="0.25">
      <c r="A13" s="45"/>
      <c r="B13" s="45"/>
      <c r="C13" s="45"/>
      <c r="D13" s="45"/>
      <c r="E13" s="45"/>
    </row>
    <row r="14" spans="1:6" x14ac:dyDescent="0.25">
      <c r="A14" s="44" t="s">
        <v>130</v>
      </c>
      <c r="B14" s="45"/>
      <c r="C14" s="45"/>
      <c r="D14" s="45"/>
      <c r="E14" s="45"/>
    </row>
    <row r="15" spans="1:6" x14ac:dyDescent="0.25">
      <c r="A15" s="45"/>
      <c r="B15" s="45"/>
      <c r="C15" s="45"/>
      <c r="E15" s="45"/>
    </row>
    <row r="16" spans="1:6" x14ac:dyDescent="0.25">
      <c r="A16" s="45"/>
      <c r="B16" s="45"/>
      <c r="C16" s="45"/>
      <c r="D16" s="45"/>
      <c r="E16" s="45"/>
    </row>
    <row r="17" spans="1:5" x14ac:dyDescent="0.25">
      <c r="A17" s="46" t="s">
        <v>124</v>
      </c>
      <c r="B17" s="49" t="s">
        <v>125</v>
      </c>
      <c r="C17" s="46" t="s">
        <v>126</v>
      </c>
      <c r="D17" s="46" t="s">
        <v>127</v>
      </c>
      <c r="E17" s="46" t="s">
        <v>128</v>
      </c>
    </row>
    <row r="18" spans="1:5" x14ac:dyDescent="0.25">
      <c r="A18" s="47">
        <v>1</v>
      </c>
      <c r="B18" s="50" t="s">
        <v>146</v>
      </c>
      <c r="C18" s="55">
        <f>VLOOKUP(APLICATIU!Q10,Tarifes!K4:O11,4,FALSE)</f>
        <v>186.16</v>
      </c>
      <c r="D18" s="59">
        <v>1</v>
      </c>
      <c r="E18" s="61">
        <f>C18*D18</f>
        <v>186.16</v>
      </c>
    </row>
    <row r="19" spans="1:5" x14ac:dyDescent="0.25">
      <c r="A19" s="47">
        <v>2</v>
      </c>
      <c r="B19" s="51" t="s">
        <v>147</v>
      </c>
      <c r="C19" s="55">
        <f>VLOOKUP(Tarifes!S24,Tarifes!R16:S22,2,FALSE)</f>
        <v>102.71</v>
      </c>
      <c r="D19" s="59">
        <v>1</v>
      </c>
      <c r="E19" s="61">
        <f>D19*C19</f>
        <v>102.71</v>
      </c>
    </row>
    <row r="20" spans="1:5" x14ac:dyDescent="0.25">
      <c r="A20" s="47">
        <v>3</v>
      </c>
      <c r="B20" s="51" t="s">
        <v>148</v>
      </c>
      <c r="C20" s="55">
        <f>Tarifes!L13</f>
        <v>685.4</v>
      </c>
      <c r="D20" s="59">
        <v>1</v>
      </c>
      <c r="E20" s="61">
        <f>C20*D20</f>
        <v>685.4</v>
      </c>
    </row>
    <row r="21" spans="1:5" x14ac:dyDescent="0.25">
      <c r="A21" s="47">
        <v>4</v>
      </c>
      <c r="B21" s="51" t="s">
        <v>149</v>
      </c>
      <c r="C21" s="55">
        <f>VLOOKUP(C18,Tarifes!N4:P11,3,FALSE)</f>
        <v>249</v>
      </c>
      <c r="D21" s="59">
        <v>1</v>
      </c>
      <c r="E21" s="61">
        <f>C21*D21</f>
        <v>249</v>
      </c>
    </row>
    <row r="22" spans="1:5" x14ac:dyDescent="0.25">
      <c r="A22" s="47"/>
      <c r="B22" s="51" t="s">
        <v>131</v>
      </c>
      <c r="C22" s="55"/>
      <c r="D22" s="59"/>
      <c r="E22" s="60">
        <f>IF(APLICATIU!E11=0,"0,00 €",SUM(E18:E21))</f>
        <v>1223.27</v>
      </c>
    </row>
    <row r="23" spans="1:5" x14ac:dyDescent="0.25">
      <c r="A23" s="45"/>
      <c r="B23" s="45"/>
      <c r="C23" s="45"/>
      <c r="D23" s="45"/>
      <c r="E23" s="181"/>
    </row>
    <row r="24" spans="1:5" x14ac:dyDescent="0.25">
      <c r="A24" s="45"/>
      <c r="B24" s="45"/>
      <c r="C24" s="45"/>
      <c r="D24" s="45"/>
      <c r="E24" s="45"/>
    </row>
    <row r="25" spans="1:5" x14ac:dyDescent="0.25">
      <c r="A25" s="44" t="s">
        <v>82</v>
      </c>
      <c r="B25" s="45"/>
      <c r="C25" s="45"/>
      <c r="D25" s="45"/>
      <c r="E25" s="45"/>
    </row>
    <row r="26" spans="1:5" x14ac:dyDescent="0.25">
      <c r="A26" s="45"/>
      <c r="B26" s="45"/>
      <c r="C26" s="45"/>
      <c r="D26" s="45"/>
      <c r="E26" s="45"/>
    </row>
    <row r="27" spans="1:5" x14ac:dyDescent="0.25">
      <c r="A27" s="45"/>
      <c r="B27" s="45"/>
      <c r="C27" s="45"/>
      <c r="D27" s="45"/>
      <c r="E27" s="45"/>
    </row>
    <row r="28" spans="1:5" x14ac:dyDescent="0.25">
      <c r="A28" s="46" t="s">
        <v>124</v>
      </c>
      <c r="B28" s="49" t="s">
        <v>125</v>
      </c>
      <c r="C28" s="46" t="s">
        <v>126</v>
      </c>
      <c r="D28" s="46" t="s">
        <v>127</v>
      </c>
      <c r="E28" s="46" t="s">
        <v>128</v>
      </c>
    </row>
    <row r="29" spans="1:5" x14ac:dyDescent="0.25">
      <c r="A29" s="47">
        <v>1</v>
      </c>
      <c r="B29" s="50" t="s">
        <v>150</v>
      </c>
      <c r="C29" s="55">
        <f>Tarifes!AA12</f>
        <v>358</v>
      </c>
      <c r="D29" s="59">
        <v>1</v>
      </c>
      <c r="E29" s="55">
        <f>D29*C29</f>
        <v>358</v>
      </c>
    </row>
    <row r="30" spans="1:5" x14ac:dyDescent="0.25">
      <c r="A30" s="47">
        <v>2</v>
      </c>
      <c r="B30" s="50" t="s">
        <v>151</v>
      </c>
      <c r="C30" s="55">
        <f>VLOOKUP(Tarifes!L24,Tarifes!K17:L22,2,FALSE)</f>
        <v>265.5</v>
      </c>
      <c r="D30" s="59">
        <v>1</v>
      </c>
      <c r="E30" s="55">
        <f>C30*D30</f>
        <v>265.5</v>
      </c>
    </row>
    <row r="31" spans="1:5" ht="24" x14ac:dyDescent="0.25">
      <c r="A31" s="47">
        <v>3</v>
      </c>
      <c r="B31" s="50" t="s">
        <v>132</v>
      </c>
      <c r="C31" s="61">
        <v>1000</v>
      </c>
      <c r="D31" s="59">
        <v>1</v>
      </c>
      <c r="E31" s="55">
        <f>D31*C31</f>
        <v>1000</v>
      </c>
    </row>
    <row r="32" spans="1:5" x14ac:dyDescent="0.25">
      <c r="A32" s="47"/>
      <c r="B32" s="51" t="s">
        <v>133</v>
      </c>
      <c r="C32" s="55"/>
      <c r="D32" s="59"/>
      <c r="E32" s="60">
        <f>SUM(E29:E31)</f>
        <v>1623.5</v>
      </c>
    </row>
    <row r="33" spans="1:5" x14ac:dyDescent="0.25">
      <c r="A33" s="45"/>
      <c r="B33" s="45"/>
      <c r="C33" s="45"/>
      <c r="D33" s="45"/>
      <c r="E33" s="45"/>
    </row>
    <row r="34" spans="1:5" x14ac:dyDescent="0.25">
      <c r="A34" s="45"/>
      <c r="B34" s="45"/>
      <c r="C34" s="45"/>
      <c r="D34" s="45"/>
      <c r="E34" s="45"/>
    </row>
    <row r="35" spans="1:5" x14ac:dyDescent="0.25">
      <c r="A35" s="44" t="s">
        <v>134</v>
      </c>
      <c r="B35" s="45"/>
      <c r="C35" s="45"/>
      <c r="D35" s="45"/>
      <c r="E35" s="45"/>
    </row>
    <row r="36" spans="1:5" x14ac:dyDescent="0.25">
      <c r="A36" s="45"/>
      <c r="B36" s="45"/>
      <c r="C36" s="45"/>
      <c r="D36" s="45"/>
      <c r="E36" s="45"/>
    </row>
    <row r="37" spans="1:5" x14ac:dyDescent="0.25">
      <c r="A37" s="45"/>
      <c r="B37" s="45"/>
      <c r="C37" s="45"/>
      <c r="D37" s="45"/>
      <c r="E37" s="45"/>
    </row>
    <row r="38" spans="1:5" x14ac:dyDescent="0.25">
      <c r="A38" s="46" t="s">
        <v>124</v>
      </c>
      <c r="B38" s="49" t="s">
        <v>125</v>
      </c>
      <c r="C38" s="46" t="s">
        <v>126</v>
      </c>
      <c r="D38" s="46" t="s">
        <v>127</v>
      </c>
      <c r="E38" s="46" t="s">
        <v>128</v>
      </c>
    </row>
    <row r="39" spans="1:5" x14ac:dyDescent="0.25">
      <c r="A39" s="47">
        <v>1</v>
      </c>
      <c r="B39" s="51" t="s">
        <v>135</v>
      </c>
      <c r="C39" s="55">
        <f>Tarifes!F4</f>
        <v>4.7300000000000004</v>
      </c>
      <c r="D39" s="59">
        <v>10</v>
      </c>
      <c r="E39" s="55">
        <f>D39*C39</f>
        <v>47.300000000000004</v>
      </c>
    </row>
    <row r="40" spans="1:5" x14ac:dyDescent="0.25">
      <c r="A40" s="47">
        <v>2</v>
      </c>
      <c r="B40" s="51" t="s">
        <v>152</v>
      </c>
      <c r="C40" s="55">
        <f>C39*Tarifes!F6</f>
        <v>2.3650000000000002</v>
      </c>
      <c r="D40" s="59">
        <v>2</v>
      </c>
      <c r="E40" s="55">
        <f>C40*D40</f>
        <v>4.7300000000000004</v>
      </c>
    </row>
    <row r="41" spans="1:5" x14ac:dyDescent="0.25">
      <c r="A41" s="47">
        <v>6</v>
      </c>
      <c r="B41" s="51" t="s">
        <v>153</v>
      </c>
      <c r="C41" s="55">
        <f>Tarifes!C17</f>
        <v>2.7</v>
      </c>
      <c r="D41" s="59">
        <v>10</v>
      </c>
      <c r="E41" s="55">
        <f>C41*D41</f>
        <v>27</v>
      </c>
    </row>
    <row r="42" spans="1:5" x14ac:dyDescent="0.25">
      <c r="A42" s="47">
        <v>7</v>
      </c>
      <c r="B42" s="51" t="s">
        <v>154</v>
      </c>
      <c r="C42" s="55">
        <f>C41*Tarifes!C12</f>
        <v>21.6</v>
      </c>
      <c r="D42" s="59">
        <v>7</v>
      </c>
      <c r="E42" s="55">
        <f>C42*D42</f>
        <v>151.20000000000002</v>
      </c>
    </row>
    <row r="43" spans="1:5" x14ac:dyDescent="0.25">
      <c r="A43" s="47"/>
      <c r="B43" s="51" t="s">
        <v>136</v>
      </c>
      <c r="C43" s="55"/>
      <c r="D43" s="59"/>
      <c r="E43" s="60">
        <f>SUM(E39:E42)</f>
        <v>230.23000000000002</v>
      </c>
    </row>
    <row r="44" spans="1:5" x14ac:dyDescent="0.25">
      <c r="A44" s="45"/>
      <c r="B44" s="45"/>
      <c r="C44" s="45"/>
      <c r="D44" s="45"/>
      <c r="E44" s="45"/>
    </row>
    <row r="45" spans="1:5" x14ac:dyDescent="0.25">
      <c r="A45" s="45"/>
      <c r="B45" s="45"/>
      <c r="C45" s="45"/>
      <c r="D45" s="45"/>
      <c r="E45" s="45"/>
    </row>
    <row r="46" spans="1:5" x14ac:dyDescent="0.25">
      <c r="A46" s="44" t="s">
        <v>137</v>
      </c>
      <c r="B46" s="45"/>
      <c r="C46" s="45"/>
      <c r="D46" s="45"/>
      <c r="E46" s="45"/>
    </row>
    <row r="47" spans="1:5" x14ac:dyDescent="0.25">
      <c r="A47" s="45"/>
      <c r="B47" s="45"/>
      <c r="C47" s="45"/>
      <c r="D47" s="45"/>
      <c r="E47" s="45"/>
    </row>
    <row r="48" spans="1:5" x14ac:dyDescent="0.25">
      <c r="A48" s="45"/>
      <c r="B48" s="45"/>
      <c r="C48" s="45"/>
      <c r="D48" s="45"/>
      <c r="E48" s="45"/>
    </row>
    <row r="49" spans="1:5" x14ac:dyDescent="0.25">
      <c r="A49" s="46" t="s">
        <v>124</v>
      </c>
      <c r="B49" s="49" t="s">
        <v>125</v>
      </c>
      <c r="C49" s="46" t="s">
        <v>126</v>
      </c>
      <c r="D49" s="46" t="s">
        <v>127</v>
      </c>
      <c r="E49" s="46" t="s">
        <v>128</v>
      </c>
    </row>
    <row r="50" spans="1:5" ht="24" x14ac:dyDescent="0.25">
      <c r="A50" s="47">
        <v>1</v>
      </c>
      <c r="B50" s="51" t="s">
        <v>138</v>
      </c>
      <c r="C50" s="55">
        <v>40</v>
      </c>
      <c r="D50" s="59">
        <v>10</v>
      </c>
      <c r="E50" s="55">
        <v>400</v>
      </c>
    </row>
    <row r="51" spans="1:5" x14ac:dyDescent="0.25">
      <c r="A51" s="47"/>
      <c r="B51" s="51" t="s">
        <v>139</v>
      </c>
      <c r="C51" s="55"/>
      <c r="D51" s="59"/>
      <c r="E51" s="60">
        <v>400</v>
      </c>
    </row>
    <row r="52" spans="1:5" x14ac:dyDescent="0.25">
      <c r="A52" s="124"/>
      <c r="B52" s="125"/>
      <c r="C52" s="126"/>
      <c r="D52" s="127"/>
      <c r="E52" s="128"/>
    </row>
    <row r="53" spans="1:5" x14ac:dyDescent="0.25">
      <c r="A53" s="124"/>
      <c r="B53" s="125"/>
      <c r="C53" s="126"/>
      <c r="D53" s="127"/>
      <c r="E53" s="128"/>
    </row>
    <row r="54" spans="1:5" x14ac:dyDescent="0.25">
      <c r="A54" s="44" t="s">
        <v>230</v>
      </c>
      <c r="B54" s="125"/>
      <c r="C54" s="126"/>
      <c r="D54" s="127"/>
      <c r="E54" s="128"/>
    </row>
    <row r="55" spans="1:5" x14ac:dyDescent="0.25">
      <c r="A55" s="124"/>
      <c r="B55" s="125"/>
      <c r="C55" s="126"/>
      <c r="D55" s="127"/>
      <c r="E55" s="128"/>
    </row>
    <row r="56" spans="1:5" x14ac:dyDescent="0.25">
      <c r="A56" s="124"/>
      <c r="B56" s="125"/>
      <c r="C56" s="126"/>
      <c r="D56" s="127"/>
      <c r="E56" s="128"/>
    </row>
    <row r="57" spans="1:5" x14ac:dyDescent="0.25">
      <c r="A57" s="46" t="s">
        <v>124</v>
      </c>
      <c r="B57" s="49" t="s">
        <v>125</v>
      </c>
      <c r="C57" s="46" t="s">
        <v>126</v>
      </c>
      <c r="D57" s="46" t="s">
        <v>127</v>
      </c>
      <c r="E57" s="46" t="s">
        <v>128</v>
      </c>
    </row>
    <row r="58" spans="1:5" x14ac:dyDescent="0.25">
      <c r="A58" s="47"/>
      <c r="B58" s="51" t="s">
        <v>231</v>
      </c>
      <c r="C58" s="55">
        <f>VLOOKUP(Tarifes!C32,Tarifes!B28:C30,2,FALSE)</f>
        <v>504.1</v>
      </c>
      <c r="D58" s="59">
        <v>1</v>
      </c>
      <c r="E58" s="55">
        <f>C58*D58</f>
        <v>504.1</v>
      </c>
    </row>
    <row r="59" spans="1:5" x14ac:dyDescent="0.25">
      <c r="A59" s="47"/>
      <c r="B59" s="51" t="s">
        <v>236</v>
      </c>
      <c r="C59" s="55">
        <f>VLOOKUP(Tarifes!C32,Tarifes!B28:D30,3,FALSE)</f>
        <v>484</v>
      </c>
      <c r="D59" s="59">
        <v>1</v>
      </c>
      <c r="E59" s="55">
        <f>C59*D59</f>
        <v>484</v>
      </c>
    </row>
    <row r="60" spans="1:5" x14ac:dyDescent="0.25">
      <c r="A60" s="47"/>
      <c r="B60" s="51" t="s">
        <v>237</v>
      </c>
      <c r="C60" s="55">
        <f>VLOOKUP(Tarifes!C32,Tarifes!F28:G30,2,FALSE)</f>
        <v>105.6</v>
      </c>
      <c r="D60" s="59">
        <v>1</v>
      </c>
      <c r="E60" s="55">
        <f>C60*D60</f>
        <v>105.6</v>
      </c>
    </row>
    <row r="61" spans="1:5" x14ac:dyDescent="0.25">
      <c r="A61" s="47"/>
      <c r="B61" s="51" t="s">
        <v>238</v>
      </c>
      <c r="C61" s="55">
        <f>VLOOKUP(Tarifes!C32,Tarifes!F28:H30,3,FALSE)</f>
        <v>52.8</v>
      </c>
      <c r="D61" s="59">
        <v>1</v>
      </c>
      <c r="E61" s="55">
        <f>C61*D61</f>
        <v>52.8</v>
      </c>
    </row>
    <row r="62" spans="1:5" x14ac:dyDescent="0.25">
      <c r="A62" s="47"/>
      <c r="B62" s="51" t="s">
        <v>149</v>
      </c>
      <c r="C62" s="55">
        <f>Tarifes!I17</f>
        <v>249</v>
      </c>
      <c r="D62" s="59">
        <v>1</v>
      </c>
      <c r="E62" s="55">
        <f>C62*D62</f>
        <v>249</v>
      </c>
    </row>
    <row r="63" spans="1:5" x14ac:dyDescent="0.25">
      <c r="A63" s="47"/>
      <c r="B63" s="51" t="s">
        <v>240</v>
      </c>
      <c r="C63" s="55"/>
      <c r="D63" s="59"/>
      <c r="E63" s="60">
        <f>IF(APLICATIU!E11=0,"0,00 €",SUM(E58:E62))</f>
        <v>1395.5</v>
      </c>
    </row>
    <row r="64" spans="1:5" x14ac:dyDescent="0.25">
      <c r="A64" s="124"/>
      <c r="B64" s="125"/>
      <c r="C64" s="126"/>
      <c r="D64" s="127"/>
      <c r="E64" s="126"/>
    </row>
    <row r="65" spans="1:5" x14ac:dyDescent="0.25">
      <c r="A65" s="124"/>
      <c r="B65" s="125"/>
      <c r="C65" s="126"/>
      <c r="D65" s="127"/>
      <c r="E65" s="126"/>
    </row>
    <row r="66" spans="1:5" x14ac:dyDescent="0.25">
      <c r="A66" s="124"/>
      <c r="B66" s="125"/>
      <c r="C66" s="126"/>
      <c r="D66" s="127"/>
      <c r="E66" s="126"/>
    </row>
    <row r="67" spans="1:5" x14ac:dyDescent="0.25">
      <c r="A67" s="45"/>
      <c r="B67" s="45"/>
      <c r="C67" s="45"/>
      <c r="D67" s="45"/>
      <c r="E67" s="45"/>
    </row>
    <row r="68" spans="1:5" x14ac:dyDescent="0.25">
      <c r="A68" s="45"/>
      <c r="B68" s="52" t="s">
        <v>140</v>
      </c>
      <c r="C68" s="53"/>
      <c r="D68" s="45"/>
      <c r="E68" s="45"/>
    </row>
    <row r="69" spans="1:5" x14ac:dyDescent="0.25">
      <c r="A69" s="45"/>
      <c r="B69" s="53" t="s">
        <v>123</v>
      </c>
      <c r="C69" s="56" t="e">
        <f>E11</f>
        <v>#N/A</v>
      </c>
      <c r="D69" s="45"/>
      <c r="E69" s="45"/>
    </row>
    <row r="70" spans="1:5" x14ac:dyDescent="0.25">
      <c r="A70" s="45"/>
      <c r="B70" s="53" t="str">
        <f>VLOOKUP(APLICATIU!P5,A81:B82,2,FALSE)</f>
        <v>CLORACIÓ</v>
      </c>
      <c r="C70" s="56">
        <f>IF(B70="RAJOS UV",E63,E22)</f>
        <v>1223.27</v>
      </c>
      <c r="E70" s="45"/>
    </row>
    <row r="71" spans="1:5" x14ac:dyDescent="0.25">
      <c r="A71" s="45"/>
      <c r="B71" s="53" t="s">
        <v>82</v>
      </c>
      <c r="C71" s="56">
        <f>E32</f>
        <v>1623.5</v>
      </c>
      <c r="D71" s="45"/>
      <c r="E71" s="45"/>
    </row>
    <row r="72" spans="1:5" x14ac:dyDescent="0.25">
      <c r="A72" s="45"/>
      <c r="B72" s="53" t="s">
        <v>134</v>
      </c>
      <c r="C72" s="56">
        <f>E43</f>
        <v>230.23000000000002</v>
      </c>
      <c r="D72" s="45"/>
      <c r="E72" s="45"/>
    </row>
    <row r="73" spans="1:5" x14ac:dyDescent="0.25">
      <c r="A73" s="45"/>
      <c r="B73" s="53" t="s">
        <v>137</v>
      </c>
      <c r="C73" s="56">
        <f>E51</f>
        <v>400</v>
      </c>
      <c r="D73" s="45"/>
      <c r="E73" s="45"/>
    </row>
    <row r="74" spans="1:5" x14ac:dyDescent="0.25">
      <c r="A74" s="45"/>
      <c r="B74" s="54" t="s">
        <v>141</v>
      </c>
      <c r="C74" s="57" t="e">
        <f>SUM(C69:C73)</f>
        <v>#N/A</v>
      </c>
      <c r="D74" s="45"/>
      <c r="E74" s="45"/>
    </row>
    <row r="75" spans="1:5" x14ac:dyDescent="0.25">
      <c r="A75" s="45"/>
      <c r="B75" s="53" t="s">
        <v>142</v>
      </c>
      <c r="C75" s="58" t="e">
        <f>C74*0.21</f>
        <v>#N/A</v>
      </c>
      <c r="D75" s="45"/>
      <c r="E75" s="45"/>
    </row>
    <row r="76" spans="1:5" x14ac:dyDescent="0.25">
      <c r="A76" s="45"/>
      <c r="B76" s="54" t="s">
        <v>143</v>
      </c>
      <c r="C76" s="57" t="e">
        <f>C74+C75</f>
        <v>#N/A</v>
      </c>
      <c r="D76" s="45"/>
      <c r="E76" s="45"/>
    </row>
    <row r="80" spans="1:5" x14ac:dyDescent="0.25">
      <c r="A80" s="44" t="s">
        <v>181</v>
      </c>
    </row>
    <row r="81" spans="1:3" x14ac:dyDescent="0.25">
      <c r="A81" s="65" t="s">
        <v>258</v>
      </c>
      <c r="B81" s="53" t="s">
        <v>130</v>
      </c>
      <c r="C81" s="131">
        <f>E22</f>
        <v>1223.27</v>
      </c>
    </row>
    <row r="82" spans="1:3" x14ac:dyDescent="0.25">
      <c r="A82" s="65" t="s">
        <v>180</v>
      </c>
      <c r="B82" s="53" t="s">
        <v>230</v>
      </c>
      <c r="C82" s="131">
        <f>E63</f>
        <v>1395.5</v>
      </c>
    </row>
  </sheetData>
  <sheetProtection algorithmName="SHA-512" hashValue="xJKoUzusUHkRXhKJf0ImgrcG9rUvoHMRkZyLV2e9HMZEVYyaTkw8ZsM4WHYRYe+kv9fiXygMabUO2pNMnq+AcA==" saltValue="ujcnXwkxS0mTVrJX9yC+FQ==" spinCount="100000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4"/>
  <dimension ref="B3:F17"/>
  <sheetViews>
    <sheetView workbookViewId="0">
      <selection activeCell="N2" sqref="N2:O3"/>
    </sheetView>
  </sheetViews>
  <sheetFormatPr defaultColWidth="11.42578125" defaultRowHeight="15" x14ac:dyDescent="0.25"/>
  <cols>
    <col min="2" max="2" width="12.85546875" bestFit="1" customWidth="1"/>
    <col min="3" max="3" width="11.85546875" bestFit="1" customWidth="1"/>
  </cols>
  <sheetData>
    <row r="3" spans="2:6" x14ac:dyDescent="0.25">
      <c r="B3" s="2" t="s">
        <v>1</v>
      </c>
      <c r="C3" t="b">
        <v>1</v>
      </c>
      <c r="E3" t="s">
        <v>74</v>
      </c>
    </row>
    <row r="4" spans="2:6" x14ac:dyDescent="0.25">
      <c r="B4" s="2" t="s">
        <v>2</v>
      </c>
      <c r="C4" t="b">
        <v>1</v>
      </c>
      <c r="E4" t="s">
        <v>75</v>
      </c>
    </row>
    <row r="5" spans="2:6" x14ac:dyDescent="0.25">
      <c r="B5" s="2" t="s">
        <v>3</v>
      </c>
      <c r="C5" t="b">
        <v>1</v>
      </c>
    </row>
    <row r="6" spans="2:6" x14ac:dyDescent="0.25">
      <c r="B6" s="2" t="s">
        <v>7</v>
      </c>
      <c r="C6" t="b">
        <v>1</v>
      </c>
    </row>
    <row r="7" spans="2:6" x14ac:dyDescent="0.25">
      <c r="B7" s="2" t="s">
        <v>4</v>
      </c>
      <c r="C7" t="b">
        <v>1</v>
      </c>
      <c r="E7" t="s">
        <v>258</v>
      </c>
      <c r="F7" t="s">
        <v>130</v>
      </c>
    </row>
    <row r="8" spans="2:6" x14ac:dyDescent="0.25">
      <c r="B8" s="2" t="s">
        <v>5</v>
      </c>
      <c r="C8" t="b">
        <v>1</v>
      </c>
      <c r="E8" t="s">
        <v>180</v>
      </c>
      <c r="F8" t="s">
        <v>230</v>
      </c>
    </row>
    <row r="9" spans="2:6" x14ac:dyDescent="0.25">
      <c r="B9" s="2" t="s">
        <v>6</v>
      </c>
      <c r="C9" t="b">
        <v>0</v>
      </c>
    </row>
    <row r="10" spans="2:6" x14ac:dyDescent="0.25">
      <c r="E10" t="s">
        <v>191</v>
      </c>
    </row>
    <row r="11" spans="2:6" x14ac:dyDescent="0.25">
      <c r="B11" s="63"/>
      <c r="E11" t="s">
        <v>192</v>
      </c>
    </row>
    <row r="12" spans="2:6" x14ac:dyDescent="0.25">
      <c r="B12" s="63"/>
    </row>
    <row r="13" spans="2:6" x14ac:dyDescent="0.25">
      <c r="B13" s="63"/>
    </row>
    <row r="14" spans="2:6" x14ac:dyDescent="0.25">
      <c r="B14" s="63"/>
    </row>
    <row r="15" spans="2:6" x14ac:dyDescent="0.25">
      <c r="B15" s="63"/>
    </row>
    <row r="16" spans="2:6" x14ac:dyDescent="0.25">
      <c r="B16" s="63"/>
    </row>
    <row r="17" spans="2:2" x14ac:dyDescent="0.25">
      <c r="B17" s="6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414E5-3378-4759-B08A-F846139F5845}">
  <dimension ref="C3:D5"/>
  <sheetViews>
    <sheetView workbookViewId="0">
      <selection activeCell="D3" sqref="D3"/>
    </sheetView>
  </sheetViews>
  <sheetFormatPr defaultColWidth="8.85546875" defaultRowHeight="15" x14ac:dyDescent="0.25"/>
  <cols>
    <col min="4" max="4" width="14.7109375" bestFit="1" customWidth="1"/>
  </cols>
  <sheetData>
    <row r="3" spans="3:4" x14ac:dyDescent="0.25">
      <c r="D3" s="223">
        <f>APLICATIU!AB35</f>
        <v>0</v>
      </c>
    </row>
    <row r="4" spans="3:4" x14ac:dyDescent="0.25">
      <c r="C4" t="s">
        <v>878</v>
      </c>
      <c r="D4" s="223">
        <v>741</v>
      </c>
    </row>
    <row r="5" spans="3:4" x14ac:dyDescent="0.25">
      <c r="D5" s="223">
        <f>D3*D4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5"/>
  <dimension ref="A1:L39"/>
  <sheetViews>
    <sheetView showGridLines="0" zoomScale="90" zoomScaleNormal="90" workbookViewId="0">
      <selection activeCell="N2" sqref="N2:O3"/>
    </sheetView>
  </sheetViews>
  <sheetFormatPr defaultColWidth="11.42578125" defaultRowHeight="15" x14ac:dyDescent="0.25"/>
  <cols>
    <col min="8" max="8" width="15.5703125" customWidth="1"/>
    <col min="9" max="9" width="7.42578125" customWidth="1"/>
    <col min="11" max="11" width="9.85546875" customWidth="1"/>
    <col min="12" max="12" width="0.85546875" customWidth="1"/>
  </cols>
  <sheetData>
    <row r="1" spans="1:12" ht="5.25" customHeight="1" thickBot="1" x14ac:dyDescent="0.3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</row>
    <row r="2" spans="1:12" ht="15.75" thickTop="1" x14ac:dyDescent="0.25">
      <c r="A2" s="366" t="s">
        <v>198</v>
      </c>
      <c r="B2" s="366"/>
      <c r="C2" s="366"/>
      <c r="D2" s="366"/>
      <c r="E2" s="366"/>
      <c r="F2" s="366"/>
      <c r="G2" s="366"/>
      <c r="H2" s="366"/>
      <c r="I2" s="94"/>
      <c r="J2" s="367" t="s">
        <v>197</v>
      </c>
      <c r="K2" s="368"/>
      <c r="L2" s="94"/>
    </row>
    <row r="3" spans="1:12" ht="15.75" thickBot="1" x14ac:dyDescent="0.3">
      <c r="A3" s="366"/>
      <c r="B3" s="366"/>
      <c r="C3" s="366"/>
      <c r="D3" s="366"/>
      <c r="E3" s="366"/>
      <c r="F3" s="366"/>
      <c r="G3" s="366"/>
      <c r="H3" s="366"/>
      <c r="I3" s="94"/>
      <c r="J3" s="369"/>
      <c r="K3" s="370"/>
      <c r="L3" s="95"/>
    </row>
    <row r="4" spans="1:12" ht="15.75" thickTop="1" x14ac:dyDescent="0.25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</row>
    <row r="5" spans="1:12" x14ac:dyDescent="0.25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</row>
    <row r="6" spans="1:12" x14ac:dyDescent="0.25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</row>
    <row r="7" spans="1:12" x14ac:dyDescent="0.25">
      <c r="A7" s="94"/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</row>
    <row r="8" spans="1:12" x14ac:dyDescent="0.25">
      <c r="A8" s="94"/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</row>
    <row r="9" spans="1:12" x14ac:dyDescent="0.25">
      <c r="A9" s="94"/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</row>
    <row r="10" spans="1:12" x14ac:dyDescent="0.25">
      <c r="A10" s="94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</row>
    <row r="11" spans="1:12" x14ac:dyDescent="0.25">
      <c r="A11" s="94"/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</row>
    <row r="12" spans="1:12" x14ac:dyDescent="0.25">
      <c r="A12" s="94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</row>
    <row r="13" spans="1:12" x14ac:dyDescent="0.25">
      <c r="A13" s="94"/>
      <c r="B13" s="94"/>
      <c r="C13" s="94"/>
      <c r="D13" s="94"/>
      <c r="E13" s="94"/>
      <c r="F13" s="94"/>
      <c r="G13" s="94"/>
      <c r="H13" s="94"/>
      <c r="I13" s="94"/>
      <c r="J13" s="94"/>
      <c r="K13" s="94"/>
      <c r="L13" s="94"/>
    </row>
    <row r="14" spans="1:12" x14ac:dyDescent="0.25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</row>
    <row r="15" spans="1:12" x14ac:dyDescent="0.25">
      <c r="A15" s="94"/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</row>
    <row r="16" spans="1:12" x14ac:dyDescent="0.25">
      <c r="A16" s="94"/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</row>
    <row r="17" spans="1:12" x14ac:dyDescent="0.25">
      <c r="A17" s="94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</row>
    <row r="18" spans="1:12" x14ac:dyDescent="0.25">
      <c r="A18" s="94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</row>
    <row r="19" spans="1:12" x14ac:dyDescent="0.25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</row>
    <row r="20" spans="1:12" x14ac:dyDescent="0.25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</row>
    <row r="21" spans="1:12" x14ac:dyDescent="0.25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</row>
    <row r="22" spans="1:12" x14ac:dyDescent="0.25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</row>
    <row r="23" spans="1:12" x14ac:dyDescent="0.25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</row>
    <row r="24" spans="1:12" x14ac:dyDescent="0.25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</row>
    <row r="25" spans="1:12" x14ac:dyDescent="0.25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</row>
    <row r="26" spans="1:12" x14ac:dyDescent="0.25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</row>
    <row r="27" spans="1:12" x14ac:dyDescent="0.25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</row>
    <row r="28" spans="1:12" x14ac:dyDescent="0.25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</row>
    <row r="29" spans="1:12" x14ac:dyDescent="0.25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</row>
    <row r="30" spans="1:12" x14ac:dyDescent="0.25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</row>
    <row r="31" spans="1:12" x14ac:dyDescent="0.25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</row>
    <row r="32" spans="1:12" x14ac:dyDescent="0.25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</row>
    <row r="33" spans="1:12" x14ac:dyDescent="0.25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</row>
    <row r="34" spans="1:12" x14ac:dyDescent="0.25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</row>
    <row r="35" spans="1:12" x14ac:dyDescent="0.25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</row>
    <row r="36" spans="1:12" x14ac:dyDescent="0.25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</row>
    <row r="37" spans="1:12" x14ac:dyDescent="0.25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</row>
    <row r="38" spans="1:12" x14ac:dyDescent="0.25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</row>
    <row r="39" spans="1:12" x14ac:dyDescent="0.25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</row>
  </sheetData>
  <sheetProtection algorithmName="SHA-512" hashValue="oVtJSA0t7SryTyE1fEpG1a4uwLoKqDMSg6Jt92r+s3ho+RXhpQyIihkCCMn0WKdYsWdQhCr8E2Vr3UTqa9bmfQ==" saltValue="F2yBdDl7sk8V1ivRDyf9Bg==" spinCount="100000"/>
  <mergeCells count="2">
    <mergeCell ref="A2:H3"/>
    <mergeCell ref="J2:K3"/>
  </mergeCells>
  <hyperlinks>
    <hyperlink ref="J2:K3" location="APLICATIU!A1" display="Torna a l'aplicatiu" xr:uid="{00000000-0004-0000-0100-000000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6"/>
  <dimension ref="A1:I27"/>
  <sheetViews>
    <sheetView showGridLines="0" zoomScale="130" zoomScaleNormal="130" workbookViewId="0">
      <selection activeCell="N2" sqref="N2:O3"/>
    </sheetView>
  </sheetViews>
  <sheetFormatPr defaultColWidth="11.42578125" defaultRowHeight="15" x14ac:dyDescent="0.25"/>
  <cols>
    <col min="8" max="8" width="8.140625" customWidth="1"/>
    <col min="9" max="9" width="0.85546875" customWidth="1"/>
  </cols>
  <sheetData>
    <row r="1" spans="1:9" ht="3.75" customHeight="1" thickBot="1" x14ac:dyDescent="0.3">
      <c r="A1" s="132"/>
      <c r="B1" s="132"/>
      <c r="C1" s="132"/>
      <c r="D1" s="132"/>
      <c r="E1" s="132"/>
      <c r="F1" s="132"/>
      <c r="G1" s="132"/>
      <c r="H1" s="132"/>
      <c r="I1" s="132"/>
    </row>
    <row r="2" spans="1:9" ht="19.5" customHeight="1" thickTop="1" x14ac:dyDescent="0.25">
      <c r="A2" s="371" t="s">
        <v>243</v>
      </c>
      <c r="B2" s="371"/>
      <c r="C2" s="371"/>
      <c r="D2" s="371"/>
      <c r="E2" s="371"/>
      <c r="F2" s="371"/>
      <c r="G2" s="372" t="s">
        <v>197</v>
      </c>
      <c r="H2" s="373"/>
      <c r="I2" s="132"/>
    </row>
    <row r="3" spans="1:9" ht="4.7" customHeight="1" x14ac:dyDescent="0.25">
      <c r="A3" s="371"/>
      <c r="B3" s="371"/>
      <c r="C3" s="371"/>
      <c r="D3" s="371"/>
      <c r="E3" s="371"/>
      <c r="F3" s="371"/>
      <c r="G3" s="374"/>
      <c r="H3" s="375"/>
      <c r="I3" s="132"/>
    </row>
    <row r="4" spans="1:9" ht="7.5" customHeight="1" thickBot="1" x14ac:dyDescent="0.3">
      <c r="A4" s="371"/>
      <c r="B4" s="371"/>
      <c r="C4" s="371"/>
      <c r="D4" s="371"/>
      <c r="E4" s="371"/>
      <c r="F4" s="371"/>
      <c r="G4" s="376"/>
      <c r="H4" s="377"/>
      <c r="I4" s="132"/>
    </row>
    <row r="5" spans="1:9" ht="5.25" customHeight="1" thickTop="1" x14ac:dyDescent="0.25">
      <c r="A5" s="132"/>
      <c r="B5" s="132"/>
      <c r="C5" s="132"/>
      <c r="D5" s="132"/>
      <c r="E5" s="132"/>
      <c r="F5" s="132"/>
      <c r="G5" s="132"/>
      <c r="H5" s="132"/>
      <c r="I5" s="132"/>
    </row>
    <row r="6" spans="1:9" x14ac:dyDescent="0.25">
      <c r="A6" s="132"/>
      <c r="B6" s="132"/>
      <c r="C6" s="132"/>
      <c r="D6" s="132"/>
      <c r="E6" s="132"/>
      <c r="F6" s="132"/>
      <c r="G6" s="132"/>
      <c r="H6" s="132"/>
      <c r="I6" s="132"/>
    </row>
    <row r="7" spans="1:9" x14ac:dyDescent="0.25">
      <c r="A7" s="132"/>
      <c r="B7" s="132"/>
      <c r="C7" s="132"/>
      <c r="D7" s="132"/>
      <c r="E7" s="132"/>
      <c r="F7" s="132"/>
      <c r="G7" s="132"/>
      <c r="H7" s="132"/>
      <c r="I7" s="132"/>
    </row>
    <row r="8" spans="1:9" x14ac:dyDescent="0.25">
      <c r="A8" s="132"/>
      <c r="B8" s="132"/>
      <c r="C8" s="132"/>
      <c r="D8" s="132"/>
      <c r="E8" s="132"/>
      <c r="F8" s="132"/>
      <c r="G8" s="132"/>
      <c r="H8" s="132"/>
      <c r="I8" s="132"/>
    </row>
    <row r="9" spans="1:9" x14ac:dyDescent="0.25">
      <c r="A9" s="132"/>
      <c r="B9" s="132"/>
      <c r="C9" s="132"/>
      <c r="D9" s="132"/>
      <c r="E9" s="132"/>
      <c r="F9" s="132"/>
      <c r="G9" s="132"/>
      <c r="H9" s="132"/>
      <c r="I9" s="132"/>
    </row>
    <row r="10" spans="1:9" x14ac:dyDescent="0.25">
      <c r="A10" s="132"/>
      <c r="B10" s="132"/>
      <c r="C10" s="132"/>
      <c r="D10" s="132"/>
      <c r="E10" s="132"/>
      <c r="F10" s="132"/>
      <c r="G10" s="132"/>
      <c r="H10" s="132"/>
      <c r="I10" s="132"/>
    </row>
    <row r="11" spans="1:9" x14ac:dyDescent="0.25">
      <c r="A11" s="132"/>
      <c r="B11" s="132"/>
      <c r="C11" s="132"/>
      <c r="D11" s="132"/>
      <c r="E11" s="132"/>
      <c r="F11" s="132"/>
      <c r="G11" s="132"/>
      <c r="H11" s="132"/>
      <c r="I11" s="132"/>
    </row>
    <row r="12" spans="1:9" x14ac:dyDescent="0.25">
      <c r="A12" s="132"/>
      <c r="B12" s="132"/>
      <c r="C12" s="132"/>
      <c r="D12" s="132"/>
      <c r="E12" s="132"/>
      <c r="F12" s="132"/>
      <c r="G12" s="132"/>
      <c r="H12" s="132"/>
      <c r="I12" s="132"/>
    </row>
    <row r="13" spans="1:9" x14ac:dyDescent="0.25">
      <c r="A13" s="132"/>
      <c r="B13" s="132"/>
      <c r="C13" s="132"/>
      <c r="D13" s="132"/>
      <c r="E13" s="132"/>
      <c r="F13" s="132"/>
      <c r="G13" s="132"/>
      <c r="H13" s="132"/>
      <c r="I13" s="132"/>
    </row>
    <row r="14" spans="1:9" x14ac:dyDescent="0.25">
      <c r="A14" s="132"/>
      <c r="B14" s="132"/>
      <c r="C14" s="132"/>
      <c r="D14" s="132"/>
      <c r="E14" s="132"/>
      <c r="F14" s="132"/>
      <c r="G14" s="132"/>
      <c r="H14" s="132"/>
      <c r="I14" s="132"/>
    </row>
    <row r="15" spans="1:9" x14ac:dyDescent="0.25">
      <c r="A15" s="132"/>
      <c r="B15" s="132"/>
      <c r="C15" s="132"/>
      <c r="D15" s="132"/>
      <c r="E15" s="132"/>
      <c r="F15" s="132"/>
      <c r="G15" s="132"/>
      <c r="H15" s="132"/>
      <c r="I15" s="132"/>
    </row>
    <row r="16" spans="1:9" x14ac:dyDescent="0.25">
      <c r="A16" s="132"/>
      <c r="B16" s="132"/>
      <c r="C16" s="132"/>
      <c r="D16" s="132"/>
      <c r="E16" s="132"/>
      <c r="F16" s="132"/>
      <c r="G16" s="132"/>
      <c r="H16" s="132"/>
      <c r="I16" s="132"/>
    </row>
    <row r="17" spans="1:9" x14ac:dyDescent="0.25">
      <c r="A17" s="132"/>
      <c r="B17" s="132"/>
      <c r="C17" s="132"/>
      <c r="D17" s="132"/>
      <c r="E17" s="132"/>
      <c r="F17" s="132"/>
      <c r="G17" s="132"/>
      <c r="H17" s="132"/>
      <c r="I17" s="132"/>
    </row>
    <row r="18" spans="1:9" x14ac:dyDescent="0.25">
      <c r="A18" s="132"/>
      <c r="B18" s="132"/>
      <c r="C18" s="132"/>
      <c r="D18" s="132"/>
      <c r="E18" s="132"/>
      <c r="F18" s="132"/>
      <c r="G18" s="132"/>
      <c r="H18" s="132"/>
      <c r="I18" s="132"/>
    </row>
    <row r="19" spans="1:9" x14ac:dyDescent="0.25">
      <c r="A19" s="132"/>
      <c r="B19" s="132"/>
      <c r="C19" s="132"/>
      <c r="D19" s="132"/>
      <c r="E19" s="132"/>
      <c r="F19" s="132"/>
      <c r="G19" s="132"/>
      <c r="H19" s="132"/>
      <c r="I19" s="132"/>
    </row>
    <row r="20" spans="1:9" x14ac:dyDescent="0.25">
      <c r="A20" s="132"/>
      <c r="B20" s="132"/>
      <c r="C20" s="132"/>
      <c r="D20" s="132"/>
      <c r="E20" s="132"/>
      <c r="F20" s="132"/>
      <c r="G20" s="132"/>
      <c r="H20" s="132"/>
      <c r="I20" s="132"/>
    </row>
    <row r="21" spans="1:9" x14ac:dyDescent="0.25">
      <c r="A21" s="132"/>
      <c r="B21" s="132"/>
      <c r="C21" s="132"/>
      <c r="D21" s="132"/>
      <c r="E21" s="132"/>
      <c r="F21" s="132"/>
      <c r="G21" s="132"/>
      <c r="H21" s="132"/>
      <c r="I21" s="132"/>
    </row>
    <row r="22" spans="1:9" x14ac:dyDescent="0.25">
      <c r="A22" s="132"/>
      <c r="B22" s="132"/>
      <c r="C22" s="132"/>
      <c r="D22" s="132"/>
      <c r="E22" s="132"/>
      <c r="F22" s="132"/>
      <c r="G22" s="132"/>
      <c r="H22" s="132"/>
      <c r="I22" s="132"/>
    </row>
    <row r="23" spans="1:9" x14ac:dyDescent="0.25">
      <c r="A23" s="132"/>
      <c r="B23" s="132"/>
      <c r="C23" s="132"/>
      <c r="D23" s="132"/>
      <c r="E23" s="132"/>
      <c r="F23" s="132"/>
      <c r="G23" s="132"/>
      <c r="H23" s="132"/>
      <c r="I23" s="132"/>
    </row>
    <row r="24" spans="1:9" x14ac:dyDescent="0.25">
      <c r="A24" s="132"/>
      <c r="B24" s="132"/>
      <c r="C24" s="132"/>
      <c r="D24" s="132"/>
      <c r="E24" s="132"/>
      <c r="F24" s="132"/>
      <c r="G24" s="132"/>
      <c r="H24" s="132"/>
      <c r="I24" s="132"/>
    </row>
    <row r="25" spans="1:9" x14ac:dyDescent="0.25">
      <c r="A25" s="132"/>
      <c r="B25" s="132"/>
      <c r="C25" s="132"/>
      <c r="D25" s="132"/>
      <c r="E25" s="132"/>
      <c r="F25" s="132"/>
      <c r="G25" s="132"/>
      <c r="H25" s="132"/>
      <c r="I25" s="132"/>
    </row>
    <row r="26" spans="1:9" x14ac:dyDescent="0.25">
      <c r="A26" s="132"/>
      <c r="B26" s="132"/>
      <c r="C26" s="132"/>
      <c r="D26" s="132"/>
      <c r="E26" s="132"/>
      <c r="F26" s="132"/>
      <c r="G26" s="132"/>
      <c r="H26" s="132"/>
      <c r="I26" s="132"/>
    </row>
    <row r="27" spans="1:9" ht="9" customHeight="1" x14ac:dyDescent="0.25">
      <c r="A27" s="132"/>
      <c r="B27" s="132"/>
      <c r="C27" s="132"/>
      <c r="D27" s="132"/>
      <c r="E27" s="132"/>
      <c r="F27" s="132"/>
      <c r="G27" s="132"/>
      <c r="H27" s="132"/>
      <c r="I27" s="132"/>
    </row>
  </sheetData>
  <sheetProtection algorithmName="SHA-512" hashValue="8sce84rwsBDL1LpxP5way+QVjKR1YbgGDRdsQUA4GmD8yilakQLqgI9Goe43hW905w207SF/vLYgGa/BWNxAUg==" saltValue="V9HusHhmNO1lGdSIQP+dvQ==" spinCount="100000"/>
  <mergeCells count="2">
    <mergeCell ref="A2:F4"/>
    <mergeCell ref="G2:H4"/>
  </mergeCells>
  <hyperlinks>
    <hyperlink ref="G2:H4" location="APLICATIU!A1" display="Torna a l'aplicatiu" xr:uid="{00000000-0004-0000-0200-000000000000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1:I27"/>
  <sheetViews>
    <sheetView showGridLines="0" zoomScale="130" zoomScaleNormal="130" workbookViewId="0">
      <selection activeCell="N2" sqref="N2:O3"/>
    </sheetView>
  </sheetViews>
  <sheetFormatPr defaultColWidth="11.42578125" defaultRowHeight="15" x14ac:dyDescent="0.25"/>
  <cols>
    <col min="8" max="8" width="8.140625" customWidth="1"/>
    <col min="9" max="9" width="0.85546875" customWidth="1"/>
  </cols>
  <sheetData>
    <row r="1" spans="1:9" ht="3.75" customHeight="1" thickBot="1" x14ac:dyDescent="0.3">
      <c r="A1" s="132"/>
      <c r="B1" s="132"/>
      <c r="C1" s="132"/>
      <c r="D1" s="132"/>
      <c r="E1" s="132"/>
      <c r="F1" s="132"/>
      <c r="G1" s="132"/>
      <c r="H1" s="132"/>
      <c r="I1" s="132"/>
    </row>
    <row r="2" spans="1:9" ht="19.5" customHeight="1" thickTop="1" x14ac:dyDescent="0.25">
      <c r="A2" s="371" t="s">
        <v>244</v>
      </c>
      <c r="B2" s="371"/>
      <c r="C2" s="371"/>
      <c r="D2" s="371"/>
      <c r="E2" s="371"/>
      <c r="F2" s="371"/>
      <c r="G2" s="378" t="s">
        <v>197</v>
      </c>
      <c r="H2" s="379"/>
      <c r="I2" s="132"/>
    </row>
    <row r="3" spans="1:9" ht="4.7" customHeight="1" x14ac:dyDescent="0.25">
      <c r="A3" s="371"/>
      <c r="B3" s="371"/>
      <c r="C3" s="371"/>
      <c r="D3" s="371"/>
      <c r="E3" s="371"/>
      <c r="F3" s="371"/>
      <c r="G3" s="380"/>
      <c r="H3" s="381"/>
      <c r="I3" s="132"/>
    </row>
    <row r="4" spans="1:9" ht="7.5" customHeight="1" thickBot="1" x14ac:dyDescent="0.3">
      <c r="A4" s="371"/>
      <c r="B4" s="371"/>
      <c r="C4" s="371"/>
      <c r="D4" s="371"/>
      <c r="E4" s="371"/>
      <c r="F4" s="371"/>
      <c r="G4" s="382"/>
      <c r="H4" s="383"/>
      <c r="I4" s="132"/>
    </row>
    <row r="5" spans="1:9" ht="5.25" customHeight="1" thickTop="1" x14ac:dyDescent="0.25">
      <c r="A5" s="132"/>
      <c r="B5" s="132"/>
      <c r="C5" s="132"/>
      <c r="D5" s="132"/>
      <c r="E5" s="132"/>
      <c r="F5" s="132"/>
      <c r="G5" s="132"/>
      <c r="H5" s="132"/>
      <c r="I5" s="132"/>
    </row>
    <row r="6" spans="1:9" x14ac:dyDescent="0.25">
      <c r="A6" s="132"/>
      <c r="B6" s="132"/>
      <c r="C6" s="132"/>
      <c r="D6" s="132"/>
      <c r="E6" s="132"/>
      <c r="F6" s="132"/>
      <c r="G6" s="132"/>
      <c r="H6" s="132"/>
      <c r="I6" s="132"/>
    </row>
    <row r="7" spans="1:9" x14ac:dyDescent="0.25">
      <c r="A7" s="132"/>
      <c r="B7" s="132"/>
      <c r="C7" s="132"/>
      <c r="D7" s="132"/>
      <c r="E7" s="132"/>
      <c r="F7" s="132"/>
      <c r="G7" s="132"/>
      <c r="H7" s="132"/>
      <c r="I7" s="132"/>
    </row>
    <row r="8" spans="1:9" x14ac:dyDescent="0.25">
      <c r="A8" s="132"/>
      <c r="B8" s="132"/>
      <c r="C8" s="132"/>
      <c r="D8" s="132"/>
      <c r="E8" s="132"/>
      <c r="F8" s="132"/>
      <c r="G8" s="132"/>
      <c r="H8" s="132"/>
      <c r="I8" s="132"/>
    </row>
    <row r="9" spans="1:9" x14ac:dyDescent="0.25">
      <c r="A9" s="132"/>
      <c r="B9" s="132"/>
      <c r="C9" s="132"/>
      <c r="D9" s="132"/>
      <c r="E9" s="132"/>
      <c r="F9" s="132"/>
      <c r="G9" s="132"/>
      <c r="H9" s="132"/>
      <c r="I9" s="132"/>
    </row>
    <row r="10" spans="1:9" x14ac:dyDescent="0.25">
      <c r="A10" s="132"/>
      <c r="B10" s="132"/>
      <c r="C10" s="132"/>
      <c r="D10" s="132"/>
      <c r="E10" s="132"/>
      <c r="F10" s="132"/>
      <c r="G10" s="132"/>
      <c r="H10" s="132"/>
      <c r="I10" s="132"/>
    </row>
    <row r="11" spans="1:9" x14ac:dyDescent="0.25">
      <c r="A11" s="132"/>
      <c r="B11" s="132"/>
      <c r="C11" s="132"/>
      <c r="D11" s="132"/>
      <c r="E11" s="132"/>
      <c r="F11" s="132"/>
      <c r="G11" s="132"/>
      <c r="H11" s="132"/>
      <c r="I11" s="132"/>
    </row>
    <row r="12" spans="1:9" x14ac:dyDescent="0.25">
      <c r="A12" s="132"/>
      <c r="B12" s="132"/>
      <c r="C12" s="132"/>
      <c r="D12" s="132"/>
      <c r="E12" s="132"/>
      <c r="F12" s="132"/>
      <c r="G12" s="132"/>
      <c r="H12" s="132"/>
      <c r="I12" s="132"/>
    </row>
    <row r="13" spans="1:9" x14ac:dyDescent="0.25">
      <c r="A13" s="132"/>
      <c r="B13" s="132"/>
      <c r="C13" s="132"/>
      <c r="D13" s="132"/>
      <c r="E13" s="132"/>
      <c r="F13" s="132"/>
      <c r="G13" s="132"/>
      <c r="H13" s="132"/>
      <c r="I13" s="132"/>
    </row>
    <row r="14" spans="1:9" x14ac:dyDescent="0.25">
      <c r="A14" s="132"/>
      <c r="B14" s="132"/>
      <c r="C14" s="132"/>
      <c r="D14" s="132"/>
      <c r="E14" s="132"/>
      <c r="F14" s="132"/>
      <c r="G14" s="132"/>
      <c r="H14" s="132"/>
      <c r="I14" s="132"/>
    </row>
    <row r="15" spans="1:9" x14ac:dyDescent="0.25">
      <c r="A15" s="132"/>
      <c r="B15" s="132"/>
      <c r="C15" s="132"/>
      <c r="D15" s="132"/>
      <c r="E15" s="132"/>
      <c r="F15" s="132"/>
      <c r="G15" s="132"/>
      <c r="H15" s="132"/>
      <c r="I15" s="132"/>
    </row>
    <row r="16" spans="1:9" x14ac:dyDescent="0.25">
      <c r="A16" s="132"/>
      <c r="B16" s="132"/>
      <c r="C16" s="132"/>
      <c r="D16" s="132"/>
      <c r="E16" s="132"/>
      <c r="F16" s="132"/>
      <c r="G16" s="132"/>
      <c r="H16" s="132"/>
      <c r="I16" s="132"/>
    </row>
    <row r="17" spans="1:9" x14ac:dyDescent="0.25">
      <c r="A17" s="132"/>
      <c r="B17" s="132"/>
      <c r="C17" s="132"/>
      <c r="D17" s="132"/>
      <c r="E17" s="132"/>
      <c r="F17" s="132"/>
      <c r="G17" s="132"/>
      <c r="H17" s="132"/>
      <c r="I17" s="132"/>
    </row>
    <row r="18" spans="1:9" x14ac:dyDescent="0.25">
      <c r="A18" s="132"/>
      <c r="B18" s="132"/>
      <c r="C18" s="132"/>
      <c r="D18" s="132"/>
      <c r="E18" s="132"/>
      <c r="F18" s="132"/>
      <c r="G18" s="132"/>
      <c r="H18" s="132"/>
      <c r="I18" s="132"/>
    </row>
    <row r="19" spans="1:9" x14ac:dyDescent="0.25">
      <c r="A19" s="132"/>
      <c r="B19" s="132"/>
      <c r="C19" s="132"/>
      <c r="D19" s="132"/>
      <c r="E19" s="132"/>
      <c r="F19" s="132"/>
      <c r="G19" s="132"/>
      <c r="H19" s="132"/>
      <c r="I19" s="132"/>
    </row>
    <row r="20" spans="1:9" x14ac:dyDescent="0.25">
      <c r="A20" s="132"/>
      <c r="B20" s="132"/>
      <c r="C20" s="132"/>
      <c r="D20" s="132"/>
      <c r="E20" s="132"/>
      <c r="F20" s="132"/>
      <c r="G20" s="132"/>
      <c r="H20" s="132"/>
      <c r="I20" s="132"/>
    </row>
    <row r="21" spans="1:9" x14ac:dyDescent="0.25">
      <c r="A21" s="132"/>
      <c r="B21" s="132"/>
      <c r="C21" s="132"/>
      <c r="D21" s="132"/>
      <c r="E21" s="132"/>
      <c r="F21" s="132"/>
      <c r="G21" s="132"/>
      <c r="H21" s="132"/>
      <c r="I21" s="132"/>
    </row>
    <row r="22" spans="1:9" x14ac:dyDescent="0.25">
      <c r="A22" s="132"/>
      <c r="B22" s="132"/>
      <c r="C22" s="132"/>
      <c r="D22" s="132"/>
      <c r="E22" s="132"/>
      <c r="F22" s="132"/>
      <c r="G22" s="132"/>
      <c r="H22" s="132"/>
      <c r="I22" s="132"/>
    </row>
    <row r="23" spans="1:9" x14ac:dyDescent="0.25">
      <c r="A23" s="132"/>
      <c r="B23" s="132"/>
      <c r="C23" s="132"/>
      <c r="D23" s="132"/>
      <c r="E23" s="132"/>
      <c r="F23" s="132"/>
      <c r="G23" s="132"/>
      <c r="H23" s="132"/>
      <c r="I23" s="132"/>
    </row>
    <row r="24" spans="1:9" x14ac:dyDescent="0.25">
      <c r="A24" s="132"/>
      <c r="B24" s="132"/>
      <c r="C24" s="132"/>
      <c r="D24" s="132"/>
      <c r="E24" s="132"/>
      <c r="F24" s="132"/>
      <c r="G24" s="132"/>
      <c r="H24" s="132"/>
      <c r="I24" s="132"/>
    </row>
    <row r="25" spans="1:9" x14ac:dyDescent="0.25">
      <c r="A25" s="132"/>
      <c r="B25" s="132"/>
      <c r="C25" s="132"/>
      <c r="D25" s="132"/>
      <c r="E25" s="132"/>
      <c r="F25" s="132"/>
      <c r="G25" s="132"/>
      <c r="H25" s="132"/>
      <c r="I25" s="132"/>
    </row>
    <row r="26" spans="1:9" x14ac:dyDescent="0.25">
      <c r="A26" s="132"/>
      <c r="B26" s="132"/>
      <c r="C26" s="132"/>
      <c r="D26" s="132"/>
      <c r="E26" s="132"/>
      <c r="F26" s="132"/>
      <c r="G26" s="132"/>
      <c r="H26" s="132"/>
      <c r="I26" s="132"/>
    </row>
    <row r="27" spans="1:9" ht="9" customHeight="1" x14ac:dyDescent="0.25">
      <c r="A27" s="132"/>
      <c r="B27" s="132"/>
      <c r="C27" s="132"/>
      <c r="D27" s="132"/>
      <c r="E27" s="132"/>
      <c r="F27" s="132"/>
      <c r="G27" s="132"/>
      <c r="H27" s="132"/>
      <c r="I27" s="132"/>
    </row>
  </sheetData>
  <sheetProtection algorithmName="SHA-512" hashValue="JYlGCO6eRUgNADWgZxquK0uHofE5epfnNFebRGpQ5ecFmbTqrNnLOJzyyfx9RQUHzH+P6KI2kdgfYJGV5TpSOw==" saltValue="sJGR/RMy+w8Tk7EXvozwbg==" spinCount="100000"/>
  <mergeCells count="2">
    <mergeCell ref="A2:F4"/>
    <mergeCell ref="G2:H4"/>
  </mergeCells>
  <hyperlinks>
    <hyperlink ref="G2:H4" location="APLICATIU!A1" display="Torna a l'aplicatiu" xr:uid="{00000000-0004-0000-0300-000000000000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2"/>
  <dimension ref="A1:P29"/>
  <sheetViews>
    <sheetView showGridLines="0" zoomScale="115" zoomScaleNormal="115" workbookViewId="0"/>
  </sheetViews>
  <sheetFormatPr defaultColWidth="11.42578125" defaultRowHeight="15" x14ac:dyDescent="0.25"/>
  <cols>
    <col min="1" max="1" width="0.5703125" customWidth="1"/>
    <col min="2" max="2" width="19.28515625" customWidth="1"/>
    <col min="3" max="15" width="9.5703125" customWidth="1"/>
    <col min="16" max="16" width="0.5703125" customWidth="1"/>
    <col min="17" max="16383" width="11.42578125" customWidth="1"/>
  </cols>
  <sheetData>
    <row r="1" spans="1:16" ht="3" customHeight="1" thickBot="1" x14ac:dyDescent="0.3">
      <c r="A1" s="207"/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</row>
    <row r="2" spans="1:16" x14ac:dyDescent="0.25">
      <c r="A2" s="207"/>
      <c r="B2" s="384" t="s">
        <v>267</v>
      </c>
      <c r="C2" s="384"/>
      <c r="D2" s="384"/>
      <c r="E2" s="384"/>
      <c r="F2" s="384"/>
      <c r="G2" s="384"/>
      <c r="H2" s="384"/>
      <c r="I2" s="207"/>
      <c r="J2" s="207"/>
      <c r="K2" s="207"/>
      <c r="L2" s="207"/>
      <c r="M2" s="207"/>
      <c r="N2" s="385" t="s">
        <v>197</v>
      </c>
      <c r="O2" s="386"/>
      <c r="P2" s="207"/>
    </row>
    <row r="3" spans="1:16" ht="15.75" thickBot="1" x14ac:dyDescent="0.3">
      <c r="A3" s="207"/>
      <c r="B3" s="384"/>
      <c r="C3" s="384"/>
      <c r="D3" s="384"/>
      <c r="E3" s="384"/>
      <c r="F3" s="384"/>
      <c r="G3" s="384"/>
      <c r="H3" s="384"/>
      <c r="I3" s="207"/>
      <c r="J3" s="207"/>
      <c r="K3" s="207"/>
      <c r="L3" s="207"/>
      <c r="M3" s="207"/>
      <c r="N3" s="387"/>
      <c r="O3" s="388"/>
      <c r="P3" s="207"/>
    </row>
    <row r="4" spans="1:16" ht="1.5" customHeight="1" x14ac:dyDescent="0.25">
      <c r="A4" s="207"/>
      <c r="B4" s="214"/>
      <c r="C4" s="214"/>
      <c r="D4" s="214"/>
      <c r="E4" s="214"/>
      <c r="F4" s="214"/>
      <c r="G4" s="214"/>
      <c r="H4" s="214"/>
      <c r="I4" s="207"/>
      <c r="J4" s="207"/>
      <c r="K4" s="207"/>
      <c r="L4" s="207"/>
      <c r="M4" s="207"/>
      <c r="N4" s="213"/>
      <c r="O4" s="213"/>
      <c r="P4" s="207"/>
    </row>
    <row r="5" spans="1:16" x14ac:dyDescent="0.25">
      <c r="A5" s="207"/>
      <c r="B5" s="217" t="s">
        <v>266</v>
      </c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7"/>
    </row>
    <row r="6" spans="1:16" x14ac:dyDescent="0.25">
      <c r="A6" s="207"/>
      <c r="B6" s="2" t="s">
        <v>34</v>
      </c>
      <c r="C6" s="210" t="s">
        <v>35</v>
      </c>
      <c r="D6" s="210" t="s">
        <v>36</v>
      </c>
      <c r="E6" s="210" t="s">
        <v>37</v>
      </c>
      <c r="F6" s="210" t="s">
        <v>38</v>
      </c>
      <c r="G6" s="210" t="s">
        <v>39</v>
      </c>
      <c r="H6" s="210" t="s">
        <v>40</v>
      </c>
      <c r="I6" s="210" t="s">
        <v>41</v>
      </c>
      <c r="J6" s="210" t="s">
        <v>42</v>
      </c>
      <c r="K6" s="210" t="s">
        <v>43</v>
      </c>
      <c r="L6" s="210" t="s">
        <v>44</v>
      </c>
      <c r="M6" s="210" t="s">
        <v>45</v>
      </c>
      <c r="N6" s="210" t="s">
        <v>46</v>
      </c>
      <c r="O6" s="216" t="s">
        <v>47</v>
      </c>
      <c r="P6" s="207"/>
    </row>
    <row r="7" spans="1:16" x14ac:dyDescent="0.25">
      <c r="A7" s="207"/>
      <c r="B7" s="2" t="s">
        <v>48</v>
      </c>
      <c r="C7" s="222">
        <v>47.35</v>
      </c>
      <c r="D7" s="222">
        <v>43.61</v>
      </c>
      <c r="E7" s="222">
        <v>65.53</v>
      </c>
      <c r="F7" s="222">
        <v>84.669999999999987</v>
      </c>
      <c r="G7" s="222">
        <v>84.1</v>
      </c>
      <c r="H7" s="222">
        <v>51.46</v>
      </c>
      <c r="I7" s="222">
        <v>32.830000000000005</v>
      </c>
      <c r="J7" s="222">
        <v>62.5</v>
      </c>
      <c r="K7" s="222">
        <v>61.839999999999996</v>
      </c>
      <c r="L7" s="222">
        <v>80.02000000000001</v>
      </c>
      <c r="M7" s="222">
        <v>70.47</v>
      </c>
      <c r="N7" s="222">
        <v>19.64</v>
      </c>
      <c r="O7" s="218">
        <f>SUM(C7:N7)</f>
        <v>704.02</v>
      </c>
      <c r="P7" s="207"/>
    </row>
    <row r="8" spans="1:16" ht="6" customHeight="1" x14ac:dyDescent="0.25">
      <c r="A8" s="207"/>
      <c r="B8" s="208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07"/>
    </row>
    <row r="9" spans="1:16" x14ac:dyDescent="0.25">
      <c r="A9" s="207"/>
      <c r="B9" s="217" t="s">
        <v>268</v>
      </c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07"/>
    </row>
    <row r="10" spans="1:16" x14ac:dyDescent="0.25">
      <c r="A10" s="207"/>
      <c r="B10" s="2" t="s">
        <v>34</v>
      </c>
      <c r="C10" s="210" t="s">
        <v>35</v>
      </c>
      <c r="D10" s="210" t="s">
        <v>36</v>
      </c>
      <c r="E10" s="210" t="s">
        <v>37</v>
      </c>
      <c r="F10" s="210" t="s">
        <v>38</v>
      </c>
      <c r="G10" s="210" t="s">
        <v>39</v>
      </c>
      <c r="H10" s="210" t="s">
        <v>40</v>
      </c>
      <c r="I10" s="210" t="s">
        <v>41</v>
      </c>
      <c r="J10" s="210" t="s">
        <v>42</v>
      </c>
      <c r="K10" s="210" t="s">
        <v>43</v>
      </c>
      <c r="L10" s="210" t="s">
        <v>44</v>
      </c>
      <c r="M10" s="210" t="s">
        <v>45</v>
      </c>
      <c r="N10" s="210" t="s">
        <v>46</v>
      </c>
      <c r="O10" s="216" t="s">
        <v>47</v>
      </c>
      <c r="P10" s="207"/>
    </row>
    <row r="11" spans="1:16" x14ac:dyDescent="0.25">
      <c r="A11" s="207"/>
      <c r="B11" s="2" t="s">
        <v>156</v>
      </c>
      <c r="C11" s="222">
        <v>0</v>
      </c>
      <c r="D11" s="222">
        <v>0</v>
      </c>
      <c r="E11" s="222">
        <v>0</v>
      </c>
      <c r="F11" s="222">
        <v>0</v>
      </c>
      <c r="G11" s="222">
        <v>0</v>
      </c>
      <c r="H11" s="222">
        <v>0</v>
      </c>
      <c r="I11" s="222">
        <v>0</v>
      </c>
      <c r="J11" s="222">
        <v>0</v>
      </c>
      <c r="K11" s="222">
        <v>0</v>
      </c>
      <c r="L11" s="222">
        <v>0</v>
      </c>
      <c r="M11" s="222">
        <v>0</v>
      </c>
      <c r="N11" s="222">
        <v>0</v>
      </c>
      <c r="O11" s="218">
        <f>SUM(C11:N11)</f>
        <v>0</v>
      </c>
      <c r="P11" s="207"/>
    </row>
    <row r="12" spans="1:16" ht="3" customHeight="1" x14ac:dyDescent="0.25">
      <c r="A12" s="207"/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8"/>
      <c r="N12" s="208"/>
      <c r="O12" s="208"/>
      <c r="P12" s="207"/>
    </row>
    <row r="13" spans="1:16" x14ac:dyDescent="0.25"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</row>
    <row r="14" spans="1:16" x14ac:dyDescent="0.25"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</row>
    <row r="15" spans="1:16" x14ac:dyDescent="0.25"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</row>
    <row r="16" spans="1:16" x14ac:dyDescent="0.25"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215"/>
      <c r="O16" s="63"/>
    </row>
    <row r="17" spans="2:15" x14ac:dyDescent="0.25"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</row>
    <row r="18" spans="2:15" x14ac:dyDescent="0.25">
      <c r="B18" s="63"/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</row>
    <row r="19" spans="2:15" x14ac:dyDescent="0.25">
      <c r="B19" s="63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</row>
    <row r="20" spans="2:15" x14ac:dyDescent="0.25"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</row>
    <row r="21" spans="2:15" x14ac:dyDescent="0.25"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</row>
    <row r="22" spans="2:15" x14ac:dyDescent="0.25"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</row>
    <row r="23" spans="2:15" x14ac:dyDescent="0.25"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</row>
    <row r="24" spans="2:15" x14ac:dyDescent="0.25"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</row>
    <row r="25" spans="2:15" x14ac:dyDescent="0.25"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</row>
    <row r="26" spans="2:15" x14ac:dyDescent="0.25"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</row>
    <row r="27" spans="2:15" x14ac:dyDescent="0.25"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</row>
    <row r="28" spans="2:15" x14ac:dyDescent="0.25"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</row>
    <row r="29" spans="2:15" x14ac:dyDescent="0.25"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</row>
  </sheetData>
  <sheetProtection algorithmName="SHA-512" hashValue="kyC6vPeisqSLR6+j1/CDb6sviHveEezym9RTEjaVddPYtUwJoC2q6I62VW7eYVzv+Kq4SJ812QW1deAJQfVFHg==" saltValue="mUtXEXg9RQlZe6we1GFPLA==" spinCount="100000"/>
  <mergeCells count="2">
    <mergeCell ref="B2:H3"/>
    <mergeCell ref="N2:O3"/>
  </mergeCells>
  <hyperlinks>
    <hyperlink ref="N2:O3" location="APLICATIU!A1" display="Torna a l'aplicatiu" xr:uid="{00000000-0004-0000-0400-000000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"/>
  <dimension ref="A2:S211"/>
  <sheetViews>
    <sheetView zoomScale="115" zoomScaleNormal="115" workbookViewId="0">
      <selection activeCell="N2" sqref="N2:O3"/>
    </sheetView>
  </sheetViews>
  <sheetFormatPr defaultColWidth="11.42578125" defaultRowHeight="15" x14ac:dyDescent="0.25"/>
  <cols>
    <col min="1" max="1" width="42" customWidth="1"/>
    <col min="2" max="2" width="11.5703125" customWidth="1"/>
    <col min="16" max="16" width="16.7109375" customWidth="1"/>
    <col min="17" max="17" width="19.42578125" customWidth="1"/>
    <col min="18" max="18" width="22.5703125" customWidth="1"/>
    <col min="19" max="19" width="24.85546875" customWidth="1"/>
    <col min="20" max="20" width="11.42578125" customWidth="1"/>
  </cols>
  <sheetData>
    <row r="2" spans="1:19" x14ac:dyDescent="0.25">
      <c r="A2" s="1" t="s">
        <v>49</v>
      </c>
      <c r="B2" s="7">
        <f>APLICATIU!K9</f>
        <v>1250</v>
      </c>
      <c r="F2" s="389" t="s">
        <v>246</v>
      </c>
      <c r="G2" s="390"/>
      <c r="H2">
        <v>30</v>
      </c>
    </row>
    <row r="3" spans="1:19" x14ac:dyDescent="0.25">
      <c r="A3" s="1" t="s">
        <v>50</v>
      </c>
      <c r="B3" s="4">
        <v>0.8</v>
      </c>
    </row>
    <row r="5" spans="1:19" x14ac:dyDescent="0.25">
      <c r="P5" s="88" t="s">
        <v>185</v>
      </c>
      <c r="Q5" s="5" t="s">
        <v>186</v>
      </c>
      <c r="R5" s="5" t="s">
        <v>187</v>
      </c>
      <c r="S5" s="5" t="s">
        <v>200</v>
      </c>
    </row>
    <row r="6" spans="1:19" x14ac:dyDescent="0.25">
      <c r="A6" s="83" t="s">
        <v>57</v>
      </c>
      <c r="P6" s="89" t="str">
        <f>A13</f>
        <v>Personalitzat</v>
      </c>
      <c r="Q6" s="87">
        <f>N16</f>
        <v>704.02</v>
      </c>
      <c r="R6" s="65">
        <f>N18</f>
        <v>1928.8219178082193</v>
      </c>
      <c r="S6" s="97">
        <f>N17</f>
        <v>704.02</v>
      </c>
    </row>
    <row r="7" spans="1:19" x14ac:dyDescent="0.25">
      <c r="B7">
        <v>31</v>
      </c>
      <c r="C7">
        <v>28</v>
      </c>
      <c r="D7">
        <v>31</v>
      </c>
      <c r="E7">
        <v>30</v>
      </c>
      <c r="F7">
        <v>31</v>
      </c>
      <c r="G7">
        <v>30</v>
      </c>
      <c r="H7">
        <v>31</v>
      </c>
      <c r="I7">
        <v>31</v>
      </c>
      <c r="J7">
        <v>30</v>
      </c>
      <c r="K7">
        <v>31</v>
      </c>
      <c r="L7">
        <v>30</v>
      </c>
      <c r="M7">
        <v>31</v>
      </c>
      <c r="N7">
        <v>365</v>
      </c>
      <c r="P7" t="str">
        <f>A6</f>
        <v>Personalitzat</v>
      </c>
      <c r="Q7" s="85">
        <f>N9</f>
        <v>704.02</v>
      </c>
      <c r="R7">
        <f>N11</f>
        <v>1928.8219178082193</v>
      </c>
      <c r="S7" s="100">
        <f>N10</f>
        <v>704.02</v>
      </c>
    </row>
    <row r="8" spans="1:19" x14ac:dyDescent="0.25">
      <c r="A8" s="1" t="s">
        <v>34</v>
      </c>
      <c r="B8" s="5" t="s">
        <v>35</v>
      </c>
      <c r="C8" s="5" t="s">
        <v>36</v>
      </c>
      <c r="D8" s="5" t="s">
        <v>37</v>
      </c>
      <c r="E8" s="5" t="s">
        <v>38</v>
      </c>
      <c r="F8" s="5" t="s">
        <v>39</v>
      </c>
      <c r="G8" s="5" t="s">
        <v>40</v>
      </c>
      <c r="H8" s="5" t="s">
        <v>41</v>
      </c>
      <c r="I8" s="5" t="s">
        <v>42</v>
      </c>
      <c r="J8" s="5" t="s">
        <v>43</v>
      </c>
      <c r="K8" s="5" t="s">
        <v>44</v>
      </c>
      <c r="L8" s="5" t="s">
        <v>45</v>
      </c>
      <c r="M8" s="5" t="s">
        <v>46</v>
      </c>
      <c r="N8" s="1" t="s">
        <v>47</v>
      </c>
    </row>
    <row r="9" spans="1:19" x14ac:dyDescent="0.25">
      <c r="A9" s="1" t="s">
        <v>48</v>
      </c>
      <c r="B9" s="85">
        <f>'Dades meteorològiques'!C7</f>
        <v>47.35</v>
      </c>
      <c r="C9" s="85">
        <f>'Dades meteorològiques'!D7</f>
        <v>43.61</v>
      </c>
      <c r="D9" s="85">
        <f>'Dades meteorològiques'!E7</f>
        <v>65.53</v>
      </c>
      <c r="E9" s="85">
        <f>'Dades meteorològiques'!F7</f>
        <v>84.669999999999987</v>
      </c>
      <c r="F9" s="85">
        <f>'Dades meteorològiques'!G7</f>
        <v>84.1</v>
      </c>
      <c r="G9" s="85">
        <f>'Dades meteorològiques'!H7</f>
        <v>51.46</v>
      </c>
      <c r="H9" s="85">
        <f>'Dades meteorològiques'!I7</f>
        <v>32.830000000000005</v>
      </c>
      <c r="I9" s="85">
        <f>'Dades meteorològiques'!J7</f>
        <v>62.5</v>
      </c>
      <c r="J9" s="85">
        <f>'Dades meteorològiques'!K7</f>
        <v>61.839999999999996</v>
      </c>
      <c r="K9" s="85">
        <f>'Dades meteorològiques'!L7</f>
        <v>80.02000000000001</v>
      </c>
      <c r="L9" s="85">
        <f>'Dades meteorològiques'!M7</f>
        <v>70.47</v>
      </c>
      <c r="M9" s="85">
        <f>'Dades meteorològiques'!N7</f>
        <v>19.64</v>
      </c>
      <c r="N9" s="86">
        <f>SUM(B9:M9)</f>
        <v>704.02</v>
      </c>
    </row>
    <row r="10" spans="1:19" x14ac:dyDescent="0.25">
      <c r="A10" s="1" t="s">
        <v>51</v>
      </c>
      <c r="B10" s="3">
        <f>B9*$B$2*$B$3/1000</f>
        <v>47.35</v>
      </c>
      <c r="C10" s="3">
        <f t="shared" ref="C10:M10" si="0">C9*$B$2*$B$3/1000</f>
        <v>43.61</v>
      </c>
      <c r="D10" s="3">
        <f t="shared" si="0"/>
        <v>65.53</v>
      </c>
      <c r="E10" s="3">
        <f t="shared" si="0"/>
        <v>84.67</v>
      </c>
      <c r="F10" s="3">
        <f t="shared" si="0"/>
        <v>84.1</v>
      </c>
      <c r="G10" s="3">
        <f t="shared" si="0"/>
        <v>51.46</v>
      </c>
      <c r="H10" s="3">
        <f t="shared" si="0"/>
        <v>32.830000000000005</v>
      </c>
      <c r="I10" s="3">
        <f t="shared" si="0"/>
        <v>62.5</v>
      </c>
      <c r="J10" s="3">
        <f t="shared" si="0"/>
        <v>61.84</v>
      </c>
      <c r="K10" s="3">
        <f t="shared" si="0"/>
        <v>80.02000000000001</v>
      </c>
      <c r="L10" s="3">
        <f t="shared" si="0"/>
        <v>70.47</v>
      </c>
      <c r="M10" s="3">
        <f t="shared" si="0"/>
        <v>19.64</v>
      </c>
      <c r="N10" s="6">
        <f>SUM(B10:M10)</f>
        <v>704.02</v>
      </c>
    </row>
    <row r="11" spans="1:19" x14ac:dyDescent="0.25">
      <c r="B11">
        <f>B10*1000/B7</f>
        <v>1527.4193548387098</v>
      </c>
      <c r="C11">
        <f t="shared" ref="C11:N11" si="1">C10*1000/C7</f>
        <v>1557.5</v>
      </c>
      <c r="D11">
        <f t="shared" si="1"/>
        <v>2113.8709677419356</v>
      </c>
      <c r="E11">
        <f t="shared" si="1"/>
        <v>2822.3333333333335</v>
      </c>
      <c r="F11">
        <f t="shared" si="1"/>
        <v>2712.9032258064517</v>
      </c>
      <c r="G11">
        <f t="shared" si="1"/>
        <v>1715.3333333333333</v>
      </c>
      <c r="H11">
        <f t="shared" si="1"/>
        <v>1059.0322580645163</v>
      </c>
      <c r="I11">
        <f t="shared" si="1"/>
        <v>2016.1290322580646</v>
      </c>
      <c r="J11">
        <f t="shared" si="1"/>
        <v>2061.3333333333335</v>
      </c>
      <c r="K11">
        <f t="shared" si="1"/>
        <v>2581.2903225806458</v>
      </c>
      <c r="L11">
        <f t="shared" si="1"/>
        <v>2349</v>
      </c>
      <c r="M11">
        <f t="shared" si="1"/>
        <v>633.54838709677415</v>
      </c>
      <c r="N11">
        <f t="shared" si="1"/>
        <v>1928.8219178082193</v>
      </c>
    </row>
    <row r="13" spans="1:19" x14ac:dyDescent="0.25">
      <c r="A13" s="83" t="str">
        <f>APLICATIU!J5</f>
        <v>Personalitzat</v>
      </c>
    </row>
    <row r="14" spans="1:19" x14ac:dyDescent="0.25">
      <c r="B14">
        <v>31</v>
      </c>
      <c r="C14">
        <v>28</v>
      </c>
      <c r="D14">
        <v>31</v>
      </c>
      <c r="E14">
        <v>30</v>
      </c>
      <c r="F14">
        <v>31</v>
      </c>
      <c r="G14">
        <v>30</v>
      </c>
      <c r="H14">
        <v>31</v>
      </c>
      <c r="I14">
        <v>31</v>
      </c>
      <c r="J14">
        <v>30</v>
      </c>
      <c r="K14">
        <v>31</v>
      </c>
      <c r="L14">
        <v>30</v>
      </c>
      <c r="M14">
        <v>31</v>
      </c>
      <c r="N14">
        <v>365</v>
      </c>
    </row>
    <row r="15" spans="1:19" x14ac:dyDescent="0.25">
      <c r="A15" s="1" t="s">
        <v>34</v>
      </c>
      <c r="B15" s="5" t="s">
        <v>35</v>
      </c>
      <c r="C15" s="5" t="s">
        <v>36</v>
      </c>
      <c r="D15" s="5" t="s">
        <v>37</v>
      </c>
      <c r="E15" s="5" t="s">
        <v>38</v>
      </c>
      <c r="F15" s="5" t="s">
        <v>39</v>
      </c>
      <c r="G15" s="5" t="s">
        <v>40</v>
      </c>
      <c r="H15" s="5" t="s">
        <v>41</v>
      </c>
      <c r="I15" s="5" t="s">
        <v>42</v>
      </c>
      <c r="J15" s="5" t="s">
        <v>43</v>
      </c>
      <c r="K15" s="5" t="s">
        <v>44</v>
      </c>
      <c r="L15" s="5" t="s">
        <v>45</v>
      </c>
      <c r="M15" s="5" t="s">
        <v>46</v>
      </c>
      <c r="N15" s="1" t="s">
        <v>47</v>
      </c>
    </row>
    <row r="16" spans="1:19" x14ac:dyDescent="0.25">
      <c r="A16" s="1" t="s">
        <v>48</v>
      </c>
      <c r="B16" s="3">
        <f>VLOOKUP(APLICATIU!$J$5,'Aigua recollida'!$A$22:$M$211,2,FALSE)</f>
        <v>47.35</v>
      </c>
      <c r="C16" s="3">
        <f>VLOOKUP(APLICATIU!$J$5,'Aigua recollida'!$A$22:$M$211,3,FALSE)</f>
        <v>43.61</v>
      </c>
      <c r="D16" s="3">
        <f>VLOOKUP(APLICATIU!$J$5,'Aigua recollida'!$A$22:$M$211,4,FALSE)</f>
        <v>65.53</v>
      </c>
      <c r="E16" s="3">
        <f>VLOOKUP(APLICATIU!$J$5,'Aigua recollida'!$A$22:$M$211,5,FALSE)</f>
        <v>84.669999999999987</v>
      </c>
      <c r="F16" s="3">
        <f>VLOOKUP(APLICATIU!$J$5,'Aigua recollida'!$A$22:$M$211,6,FALSE)</f>
        <v>84.1</v>
      </c>
      <c r="G16" s="3">
        <f>VLOOKUP(APLICATIU!$J$5,'Aigua recollida'!$A$22:$M$211,7,FALSE)</f>
        <v>51.46</v>
      </c>
      <c r="H16" s="3">
        <f>VLOOKUP(APLICATIU!$J$5,'Aigua recollida'!$A$22:$M$211,8,FALSE)</f>
        <v>32.830000000000005</v>
      </c>
      <c r="I16" s="3">
        <f>VLOOKUP(APLICATIU!$J$5,'Aigua recollida'!$A$22:$M$211,9,FALSE)</f>
        <v>62.5</v>
      </c>
      <c r="J16" s="3">
        <f>VLOOKUP(APLICATIU!$J$5,'Aigua recollida'!$A$22:$M$211,10,FALSE)</f>
        <v>61.839999999999996</v>
      </c>
      <c r="K16" s="3">
        <f>VLOOKUP(APLICATIU!$J$5,'Aigua recollida'!$A$22:$M$211,11,FALSE)</f>
        <v>80.02000000000001</v>
      </c>
      <c r="L16" s="3">
        <f>VLOOKUP(APLICATIU!$J$5,'Aigua recollida'!$A$22:$M$211,12,FALSE)</f>
        <v>70.47</v>
      </c>
      <c r="M16" s="3">
        <f>VLOOKUP(APLICATIU!$J$5,'Aigua recollida'!$A$22:$M$211,13,FALSE)</f>
        <v>19.64</v>
      </c>
      <c r="N16" s="86">
        <f>SUM(B16:M16)</f>
        <v>704.02</v>
      </c>
    </row>
    <row r="17" spans="1:19" x14ac:dyDescent="0.25">
      <c r="A17" s="1" t="s">
        <v>51</v>
      </c>
      <c r="B17" s="3">
        <f>B16*$B$2*$B$3/1000</f>
        <v>47.35</v>
      </c>
      <c r="C17" s="3">
        <f t="shared" ref="C17:M17" si="2">C16*$B$2*$B$3/1000</f>
        <v>43.61</v>
      </c>
      <c r="D17" s="3">
        <f t="shared" si="2"/>
        <v>65.53</v>
      </c>
      <c r="E17" s="3">
        <f t="shared" si="2"/>
        <v>84.67</v>
      </c>
      <c r="F17" s="3">
        <f t="shared" si="2"/>
        <v>84.1</v>
      </c>
      <c r="G17" s="3">
        <f t="shared" si="2"/>
        <v>51.46</v>
      </c>
      <c r="H17" s="3">
        <f t="shared" si="2"/>
        <v>32.830000000000005</v>
      </c>
      <c r="I17" s="3">
        <f t="shared" si="2"/>
        <v>62.5</v>
      </c>
      <c r="J17" s="3">
        <f t="shared" si="2"/>
        <v>61.84</v>
      </c>
      <c r="K17" s="3">
        <f t="shared" si="2"/>
        <v>80.02000000000001</v>
      </c>
      <c r="L17" s="3">
        <f t="shared" si="2"/>
        <v>70.47</v>
      </c>
      <c r="M17" s="3">
        <f t="shared" si="2"/>
        <v>19.64</v>
      </c>
      <c r="N17" s="6">
        <f>SUM(B17:M17)</f>
        <v>704.02</v>
      </c>
    </row>
    <row r="18" spans="1:19" x14ac:dyDescent="0.25">
      <c r="B18">
        <f>B17*1000/B14</f>
        <v>1527.4193548387098</v>
      </c>
      <c r="C18">
        <f t="shared" ref="C18:N18" si="3">C17*1000/C14</f>
        <v>1557.5</v>
      </c>
      <c r="D18">
        <f t="shared" si="3"/>
        <v>2113.8709677419356</v>
      </c>
      <c r="E18">
        <f t="shared" si="3"/>
        <v>2822.3333333333335</v>
      </c>
      <c r="F18">
        <f t="shared" si="3"/>
        <v>2712.9032258064517</v>
      </c>
      <c r="G18">
        <f t="shared" si="3"/>
        <v>1715.3333333333333</v>
      </c>
      <c r="H18">
        <f t="shared" si="3"/>
        <v>1059.0322580645163</v>
      </c>
      <c r="I18">
        <f t="shared" si="3"/>
        <v>2016.1290322580646</v>
      </c>
      <c r="J18">
        <f t="shared" si="3"/>
        <v>2061.3333333333335</v>
      </c>
      <c r="K18">
        <f t="shared" si="3"/>
        <v>2581.2903225806458</v>
      </c>
      <c r="L18">
        <f t="shared" si="3"/>
        <v>2349</v>
      </c>
      <c r="M18">
        <f t="shared" si="3"/>
        <v>633.54838709677415</v>
      </c>
      <c r="N18">
        <f t="shared" si="3"/>
        <v>1928.8219178082193</v>
      </c>
      <c r="Q18" s="85"/>
      <c r="S18" s="100"/>
    </row>
    <row r="19" spans="1:19" x14ac:dyDescent="0.25">
      <c r="Q19" s="85"/>
      <c r="S19" s="100"/>
    </row>
    <row r="20" spans="1:19" x14ac:dyDescent="0.25">
      <c r="Q20" s="85"/>
      <c r="S20" s="100"/>
    </row>
    <row r="21" spans="1:19" x14ac:dyDescent="0.25">
      <c r="A21" t="s">
        <v>269</v>
      </c>
      <c r="B21" s="5" t="s">
        <v>35</v>
      </c>
      <c r="C21" s="5" t="s">
        <v>36</v>
      </c>
      <c r="D21" s="5" t="s">
        <v>37</v>
      </c>
      <c r="E21" s="5" t="s">
        <v>38</v>
      </c>
      <c r="F21" s="5" t="s">
        <v>39</v>
      </c>
      <c r="G21" s="5" t="s">
        <v>40</v>
      </c>
      <c r="H21" s="5" t="s">
        <v>41</v>
      </c>
      <c r="I21" s="5" t="s">
        <v>42</v>
      </c>
      <c r="J21" s="5" t="s">
        <v>43</v>
      </c>
      <c r="K21" s="5" t="s">
        <v>44</v>
      </c>
      <c r="L21" s="5" t="s">
        <v>45</v>
      </c>
      <c r="M21" s="5" t="s">
        <v>46</v>
      </c>
      <c r="Q21" s="85"/>
      <c r="S21" s="100"/>
    </row>
    <row r="22" spans="1:19" x14ac:dyDescent="0.25">
      <c r="A22" t="s">
        <v>882</v>
      </c>
      <c r="B22">
        <v>91.4</v>
      </c>
      <c r="C22">
        <v>187.1</v>
      </c>
      <c r="D22">
        <v>81.7</v>
      </c>
      <c r="E22">
        <v>185.7</v>
      </c>
      <c r="F22">
        <v>144.4</v>
      </c>
      <c r="G22">
        <v>56.3</v>
      </c>
      <c r="H22">
        <v>45.1</v>
      </c>
      <c r="I22">
        <v>122.1</v>
      </c>
      <c r="J22">
        <v>17.399999999999999</v>
      </c>
      <c r="K22">
        <v>430.7</v>
      </c>
      <c r="L22">
        <v>200.2</v>
      </c>
      <c r="M22">
        <v>10.3</v>
      </c>
    </row>
    <row r="23" spans="1:19" x14ac:dyDescent="0.25">
      <c r="A23" t="s">
        <v>881</v>
      </c>
      <c r="B23">
        <v>32.4</v>
      </c>
      <c r="C23">
        <v>133.80000000000001</v>
      </c>
      <c r="D23">
        <v>50.7</v>
      </c>
      <c r="E23">
        <v>142.9</v>
      </c>
      <c r="F23">
        <v>163.19999999999999</v>
      </c>
      <c r="G23">
        <v>76</v>
      </c>
      <c r="H23">
        <v>80.2</v>
      </c>
      <c r="I23">
        <v>70</v>
      </c>
      <c r="J23">
        <v>33.4</v>
      </c>
      <c r="K23">
        <v>309</v>
      </c>
      <c r="L23">
        <v>188.1</v>
      </c>
      <c r="M23">
        <v>8.3000000000000007</v>
      </c>
    </row>
    <row r="24" spans="1:19" x14ac:dyDescent="0.25">
      <c r="A24" t="s">
        <v>880</v>
      </c>
      <c r="B24">
        <v>40.200000000000003</v>
      </c>
      <c r="C24">
        <v>98</v>
      </c>
      <c r="D24">
        <v>44.3</v>
      </c>
      <c r="E24">
        <v>80.2</v>
      </c>
      <c r="F24">
        <v>75</v>
      </c>
      <c r="G24">
        <v>37.299999999999997</v>
      </c>
      <c r="H24">
        <v>53.8</v>
      </c>
      <c r="I24">
        <v>59.7</v>
      </c>
      <c r="J24">
        <v>53.6</v>
      </c>
      <c r="K24">
        <v>241.7</v>
      </c>
      <c r="L24">
        <v>232.4</v>
      </c>
      <c r="M24">
        <v>10.7</v>
      </c>
    </row>
    <row r="25" spans="1:19" x14ac:dyDescent="0.25">
      <c r="A25" t="s">
        <v>883</v>
      </c>
      <c r="B25">
        <v>32.799999999999997</v>
      </c>
      <c r="C25">
        <v>108.2</v>
      </c>
      <c r="D25">
        <v>65.400000000000006</v>
      </c>
      <c r="E25">
        <v>95.7</v>
      </c>
      <c r="F25">
        <v>104.5</v>
      </c>
      <c r="G25">
        <v>45.2</v>
      </c>
      <c r="H25">
        <v>79.7</v>
      </c>
      <c r="I25">
        <v>72.8</v>
      </c>
      <c r="J25">
        <v>10.199999999999999</v>
      </c>
      <c r="K25">
        <v>270.7</v>
      </c>
      <c r="L25">
        <v>161.9</v>
      </c>
      <c r="M25">
        <v>9.6999999999999993</v>
      </c>
    </row>
    <row r="26" spans="1:19" x14ac:dyDescent="0.25">
      <c r="A26" s="220" t="s">
        <v>876</v>
      </c>
    </row>
    <row r="27" spans="1:19" x14ac:dyDescent="0.25">
      <c r="A27" t="s">
        <v>57</v>
      </c>
      <c r="B27" s="100">
        <f>'Dades meteorològiques'!C7</f>
        <v>47.35</v>
      </c>
      <c r="C27" s="100">
        <f>'Dades meteorològiques'!D7</f>
        <v>43.61</v>
      </c>
      <c r="D27" s="100">
        <f>'Dades meteorològiques'!E7</f>
        <v>65.53</v>
      </c>
      <c r="E27" s="100">
        <f>'Dades meteorològiques'!F7</f>
        <v>84.669999999999987</v>
      </c>
      <c r="F27" s="100">
        <f>'Dades meteorològiques'!G7</f>
        <v>84.1</v>
      </c>
      <c r="G27" s="100">
        <f>'Dades meteorològiques'!H7</f>
        <v>51.46</v>
      </c>
      <c r="H27" s="100">
        <f>'Dades meteorològiques'!I7</f>
        <v>32.830000000000005</v>
      </c>
      <c r="I27" s="100">
        <f>'Dades meteorològiques'!J7</f>
        <v>62.5</v>
      </c>
      <c r="J27" s="100">
        <f>'Dades meteorològiques'!K7</f>
        <v>61.839999999999996</v>
      </c>
      <c r="K27" s="100">
        <f>'Dades meteorològiques'!L7</f>
        <v>80.02000000000001</v>
      </c>
      <c r="L27" s="100">
        <f>'Dades meteorològiques'!M7</f>
        <v>70.47</v>
      </c>
      <c r="M27" s="100">
        <f>'Dades meteorològiques'!N7</f>
        <v>19.64</v>
      </c>
    </row>
    <row r="28" spans="1:19" x14ac:dyDescent="0.25">
      <c r="A28" s="220" t="s">
        <v>876</v>
      </c>
      <c r="B28" s="100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</row>
    <row r="29" spans="1:19" x14ac:dyDescent="0.25">
      <c r="A29" t="s">
        <v>291</v>
      </c>
      <c r="B29">
        <v>16.7</v>
      </c>
      <c r="C29">
        <v>85.6</v>
      </c>
      <c r="D29">
        <v>32.6</v>
      </c>
      <c r="E29">
        <v>80.5</v>
      </c>
      <c r="F29">
        <v>35.700000000000003</v>
      </c>
      <c r="G29">
        <v>22.2</v>
      </c>
      <c r="H29">
        <v>2.5</v>
      </c>
      <c r="I29">
        <v>42.2</v>
      </c>
      <c r="J29">
        <v>37.1</v>
      </c>
      <c r="K29">
        <v>220.5</v>
      </c>
      <c r="L29">
        <v>48.3</v>
      </c>
      <c r="M29">
        <v>7.7</v>
      </c>
    </row>
    <row r="30" spans="1:19" x14ac:dyDescent="0.25">
      <c r="A30" t="s">
        <v>294</v>
      </c>
      <c r="B30">
        <v>23.5</v>
      </c>
      <c r="C30">
        <v>72.2</v>
      </c>
      <c r="D30">
        <v>45.2</v>
      </c>
      <c r="E30">
        <v>90.4</v>
      </c>
      <c r="F30">
        <v>81.099999999999994</v>
      </c>
      <c r="G30">
        <v>40.4</v>
      </c>
      <c r="H30">
        <v>4.2</v>
      </c>
      <c r="I30">
        <v>41.8</v>
      </c>
      <c r="J30">
        <v>38.4</v>
      </c>
      <c r="K30">
        <v>198.3</v>
      </c>
      <c r="L30">
        <v>51.8</v>
      </c>
      <c r="M30">
        <v>6.5</v>
      </c>
    </row>
    <row r="31" spans="1:19" x14ac:dyDescent="0.25">
      <c r="A31" t="s">
        <v>298</v>
      </c>
      <c r="B31">
        <v>24.4</v>
      </c>
      <c r="C31">
        <v>67.7</v>
      </c>
      <c r="D31">
        <v>41.6</v>
      </c>
      <c r="E31">
        <v>132.80000000000001</v>
      </c>
      <c r="F31">
        <v>54.7</v>
      </c>
      <c r="G31">
        <v>56</v>
      </c>
      <c r="H31">
        <v>11.9</v>
      </c>
      <c r="I31">
        <v>18.100000000000001</v>
      </c>
      <c r="J31">
        <v>25.8</v>
      </c>
      <c r="K31">
        <v>251.7</v>
      </c>
      <c r="L31">
        <v>162</v>
      </c>
      <c r="M31">
        <v>18.2</v>
      </c>
    </row>
    <row r="32" spans="1:19" x14ac:dyDescent="0.25">
      <c r="A32" t="s">
        <v>301</v>
      </c>
      <c r="B32">
        <v>19.8</v>
      </c>
      <c r="C32">
        <v>43.5</v>
      </c>
      <c r="D32">
        <v>44.1</v>
      </c>
      <c r="E32">
        <v>74.5</v>
      </c>
      <c r="F32">
        <v>57.1</v>
      </c>
      <c r="G32">
        <v>32.4</v>
      </c>
      <c r="H32">
        <v>12.4</v>
      </c>
      <c r="I32">
        <v>29.6</v>
      </c>
      <c r="J32">
        <v>4.0999999999999996</v>
      </c>
      <c r="K32">
        <v>202.2</v>
      </c>
      <c r="L32">
        <v>125.9</v>
      </c>
      <c r="M32">
        <v>12.7</v>
      </c>
    </row>
    <row r="33" spans="1:13" x14ac:dyDescent="0.25">
      <c r="A33" t="s">
        <v>304</v>
      </c>
      <c r="B33">
        <v>53.6</v>
      </c>
      <c r="C33">
        <v>46.5</v>
      </c>
      <c r="D33">
        <v>41.9</v>
      </c>
      <c r="E33">
        <v>109.8</v>
      </c>
      <c r="F33">
        <v>82.1</v>
      </c>
      <c r="G33">
        <v>59.7</v>
      </c>
      <c r="H33">
        <v>21.4</v>
      </c>
      <c r="I33">
        <v>31.6</v>
      </c>
      <c r="J33">
        <v>17.7</v>
      </c>
      <c r="K33">
        <v>190.4</v>
      </c>
      <c r="L33">
        <v>177.4</v>
      </c>
      <c r="M33">
        <v>15</v>
      </c>
    </row>
    <row r="34" spans="1:13" x14ac:dyDescent="0.25">
      <c r="A34" t="s">
        <v>307</v>
      </c>
      <c r="B34">
        <v>38.9</v>
      </c>
      <c r="C34">
        <v>87.1</v>
      </c>
      <c r="D34">
        <v>31.9</v>
      </c>
      <c r="E34">
        <v>128.9</v>
      </c>
      <c r="F34">
        <v>110.5</v>
      </c>
      <c r="G34">
        <v>97.3</v>
      </c>
      <c r="H34">
        <v>35.1</v>
      </c>
      <c r="I34">
        <v>22.8</v>
      </c>
      <c r="J34">
        <v>36.4</v>
      </c>
      <c r="K34">
        <v>209.1</v>
      </c>
      <c r="L34">
        <v>265.5</v>
      </c>
      <c r="M34">
        <v>15.1</v>
      </c>
    </row>
    <row r="35" spans="1:13" x14ac:dyDescent="0.25">
      <c r="A35" t="s">
        <v>310</v>
      </c>
      <c r="B35">
        <v>57</v>
      </c>
      <c r="C35">
        <v>81.099999999999994</v>
      </c>
      <c r="D35">
        <v>40.799999999999997</v>
      </c>
      <c r="E35">
        <v>152.5</v>
      </c>
      <c r="F35">
        <v>102.9</v>
      </c>
      <c r="G35">
        <v>68.3</v>
      </c>
      <c r="H35">
        <v>39.299999999999997</v>
      </c>
      <c r="I35">
        <v>27.7</v>
      </c>
      <c r="J35">
        <v>34.700000000000003</v>
      </c>
      <c r="K35">
        <v>297.89999999999998</v>
      </c>
      <c r="L35">
        <v>272.8</v>
      </c>
      <c r="M35">
        <v>16.3</v>
      </c>
    </row>
    <row r="36" spans="1:13" x14ac:dyDescent="0.25">
      <c r="A36" t="s">
        <v>313</v>
      </c>
      <c r="B36">
        <v>17.7</v>
      </c>
      <c r="C36">
        <v>58.7</v>
      </c>
      <c r="D36">
        <v>68.900000000000006</v>
      </c>
      <c r="E36">
        <v>75.599999999999994</v>
      </c>
      <c r="F36">
        <v>24.1</v>
      </c>
      <c r="G36">
        <v>28</v>
      </c>
      <c r="H36">
        <v>40.200000000000003</v>
      </c>
      <c r="I36">
        <v>60.8</v>
      </c>
      <c r="J36">
        <v>24.2</v>
      </c>
      <c r="K36">
        <v>231.8</v>
      </c>
      <c r="L36">
        <v>64.5</v>
      </c>
      <c r="M36">
        <v>29.8</v>
      </c>
    </row>
    <row r="37" spans="1:13" x14ac:dyDescent="0.25">
      <c r="A37" t="s">
        <v>316</v>
      </c>
      <c r="B37">
        <v>21.8</v>
      </c>
      <c r="C37">
        <v>44.3</v>
      </c>
      <c r="D37">
        <v>48.9</v>
      </c>
      <c r="E37">
        <v>63.3</v>
      </c>
      <c r="F37">
        <v>33.1</v>
      </c>
      <c r="G37">
        <v>25.2</v>
      </c>
      <c r="H37">
        <v>22.4</v>
      </c>
      <c r="I37">
        <v>70.7</v>
      </c>
      <c r="J37">
        <v>2.2999999999999998</v>
      </c>
      <c r="K37">
        <v>222.1</v>
      </c>
      <c r="L37">
        <v>81.3</v>
      </c>
      <c r="M37">
        <v>20.5</v>
      </c>
    </row>
    <row r="38" spans="1:13" x14ac:dyDescent="0.25">
      <c r="A38" t="s">
        <v>319</v>
      </c>
      <c r="B38">
        <v>25.6</v>
      </c>
      <c r="C38">
        <v>61.1</v>
      </c>
      <c r="D38">
        <v>40.299999999999997</v>
      </c>
      <c r="E38">
        <v>79.599999999999994</v>
      </c>
      <c r="F38">
        <v>44.5</v>
      </c>
      <c r="G38">
        <v>45.5</v>
      </c>
      <c r="H38">
        <v>38.200000000000003</v>
      </c>
      <c r="I38">
        <v>49.2</v>
      </c>
      <c r="J38">
        <v>8.6</v>
      </c>
      <c r="K38">
        <v>211.5</v>
      </c>
      <c r="L38">
        <v>112.6</v>
      </c>
      <c r="M38">
        <v>21.7</v>
      </c>
    </row>
    <row r="39" spans="1:13" x14ac:dyDescent="0.25">
      <c r="A39" t="s">
        <v>322</v>
      </c>
      <c r="B39">
        <v>34</v>
      </c>
      <c r="C39">
        <v>67.8</v>
      </c>
      <c r="D39">
        <v>43.4</v>
      </c>
      <c r="E39">
        <v>71.599999999999994</v>
      </c>
      <c r="F39">
        <v>62.9</v>
      </c>
      <c r="G39">
        <v>46.6</v>
      </c>
      <c r="H39">
        <v>38.5</v>
      </c>
      <c r="I39">
        <v>18</v>
      </c>
      <c r="J39">
        <v>6.3</v>
      </c>
      <c r="K39">
        <v>191.3</v>
      </c>
      <c r="L39">
        <v>114.5</v>
      </c>
      <c r="M39">
        <v>20.2</v>
      </c>
    </row>
    <row r="40" spans="1:13" x14ac:dyDescent="0.25">
      <c r="A40" t="s">
        <v>326</v>
      </c>
      <c r="B40">
        <v>63.3</v>
      </c>
      <c r="C40">
        <v>117.8</v>
      </c>
      <c r="D40">
        <v>72.8</v>
      </c>
      <c r="E40">
        <v>90.3</v>
      </c>
      <c r="F40">
        <v>96.3</v>
      </c>
      <c r="G40">
        <v>55.3</v>
      </c>
      <c r="H40">
        <v>11.2</v>
      </c>
      <c r="I40">
        <v>25.6</v>
      </c>
      <c r="J40">
        <v>41.9</v>
      </c>
      <c r="K40">
        <v>185.8</v>
      </c>
      <c r="L40">
        <v>72.599999999999994</v>
      </c>
      <c r="M40">
        <v>2.5</v>
      </c>
    </row>
    <row r="41" spans="1:13" x14ac:dyDescent="0.25">
      <c r="A41" t="s">
        <v>329</v>
      </c>
      <c r="B41">
        <v>63.4</v>
      </c>
      <c r="C41">
        <v>121.3</v>
      </c>
      <c r="D41">
        <v>65.900000000000006</v>
      </c>
      <c r="E41">
        <v>110.3</v>
      </c>
      <c r="F41">
        <v>88.9</v>
      </c>
      <c r="G41">
        <v>36.299999999999997</v>
      </c>
      <c r="H41">
        <v>0.9</v>
      </c>
      <c r="I41">
        <v>26.2</v>
      </c>
      <c r="J41">
        <v>36.4</v>
      </c>
      <c r="K41">
        <v>222.8</v>
      </c>
      <c r="L41">
        <v>61.8</v>
      </c>
      <c r="M41">
        <v>4.8</v>
      </c>
    </row>
    <row r="42" spans="1:13" x14ac:dyDescent="0.25">
      <c r="A42" t="s">
        <v>332</v>
      </c>
      <c r="B42">
        <v>61.5</v>
      </c>
      <c r="C42">
        <v>130.6</v>
      </c>
      <c r="D42">
        <v>60.9</v>
      </c>
      <c r="E42">
        <v>88.7</v>
      </c>
      <c r="F42">
        <v>48.4</v>
      </c>
      <c r="G42">
        <v>47.1</v>
      </c>
      <c r="H42">
        <v>13.9</v>
      </c>
      <c r="I42">
        <v>46.9</v>
      </c>
      <c r="J42">
        <v>31.2</v>
      </c>
      <c r="K42">
        <v>214.2</v>
      </c>
      <c r="L42">
        <v>94</v>
      </c>
      <c r="M42">
        <v>3.6</v>
      </c>
    </row>
    <row r="43" spans="1:13" x14ac:dyDescent="0.25">
      <c r="A43" t="s">
        <v>335</v>
      </c>
      <c r="B43">
        <v>57</v>
      </c>
      <c r="C43">
        <v>130.1</v>
      </c>
      <c r="D43">
        <v>48.3</v>
      </c>
      <c r="E43">
        <v>83.7</v>
      </c>
      <c r="F43">
        <v>39.700000000000003</v>
      </c>
      <c r="G43">
        <v>29.7</v>
      </c>
      <c r="H43">
        <v>9.4</v>
      </c>
      <c r="I43">
        <v>48</v>
      </c>
      <c r="J43">
        <v>38.700000000000003</v>
      </c>
      <c r="K43">
        <v>252</v>
      </c>
      <c r="L43">
        <v>60.7</v>
      </c>
      <c r="M43">
        <v>4.5</v>
      </c>
    </row>
    <row r="44" spans="1:13" x14ac:dyDescent="0.25">
      <c r="A44" t="s">
        <v>338</v>
      </c>
      <c r="B44">
        <v>50.3</v>
      </c>
      <c r="C44">
        <v>96.1</v>
      </c>
      <c r="D44">
        <v>70.3</v>
      </c>
      <c r="E44">
        <v>82.7</v>
      </c>
      <c r="F44">
        <v>82.5</v>
      </c>
      <c r="G44">
        <v>47</v>
      </c>
      <c r="H44">
        <v>10.8</v>
      </c>
      <c r="I44">
        <v>49.8</v>
      </c>
      <c r="J44">
        <v>67.900000000000006</v>
      </c>
      <c r="K44">
        <v>181</v>
      </c>
      <c r="L44">
        <v>92</v>
      </c>
      <c r="M44">
        <v>3.3</v>
      </c>
    </row>
    <row r="45" spans="1:13" x14ac:dyDescent="0.25">
      <c r="A45" t="s">
        <v>342</v>
      </c>
      <c r="B45">
        <v>91.7</v>
      </c>
      <c r="C45">
        <v>131.5</v>
      </c>
      <c r="D45">
        <v>129.69999999999999</v>
      </c>
      <c r="E45">
        <v>132.9</v>
      </c>
      <c r="F45">
        <v>169</v>
      </c>
      <c r="G45">
        <v>95.8</v>
      </c>
      <c r="H45">
        <v>26.8</v>
      </c>
      <c r="I45">
        <v>119.9</v>
      </c>
      <c r="J45">
        <v>43</v>
      </c>
      <c r="K45">
        <v>250.6</v>
      </c>
      <c r="L45">
        <v>84.5</v>
      </c>
      <c r="M45">
        <v>6.6</v>
      </c>
    </row>
    <row r="46" spans="1:13" x14ac:dyDescent="0.25">
      <c r="A46" t="s">
        <v>345</v>
      </c>
      <c r="B46">
        <v>58.9</v>
      </c>
      <c r="C46">
        <v>73.7</v>
      </c>
      <c r="D46">
        <v>55.4</v>
      </c>
      <c r="E46">
        <v>96.7</v>
      </c>
      <c r="F46">
        <v>143.69999999999999</v>
      </c>
      <c r="G46">
        <v>40.799999999999997</v>
      </c>
      <c r="H46">
        <v>51</v>
      </c>
      <c r="I46">
        <v>33.799999999999997</v>
      </c>
      <c r="J46">
        <v>63</v>
      </c>
      <c r="K46">
        <v>125.7</v>
      </c>
      <c r="L46">
        <v>52</v>
      </c>
      <c r="M46">
        <v>6</v>
      </c>
    </row>
    <row r="47" spans="1:13" x14ac:dyDescent="0.25">
      <c r="A47" t="s">
        <v>348</v>
      </c>
      <c r="B47">
        <v>56.4</v>
      </c>
      <c r="C47">
        <v>137.5</v>
      </c>
      <c r="D47">
        <v>109.1</v>
      </c>
      <c r="E47">
        <v>140.5</v>
      </c>
      <c r="F47">
        <v>161.6</v>
      </c>
      <c r="G47">
        <v>52.9</v>
      </c>
      <c r="H47">
        <v>21.7</v>
      </c>
      <c r="I47">
        <v>74.7</v>
      </c>
      <c r="J47">
        <v>25.5</v>
      </c>
      <c r="K47">
        <v>169.5</v>
      </c>
      <c r="L47">
        <v>90.5</v>
      </c>
      <c r="M47">
        <v>10.3</v>
      </c>
    </row>
    <row r="48" spans="1:13" x14ac:dyDescent="0.25">
      <c r="A48" t="s">
        <v>351</v>
      </c>
      <c r="B48">
        <v>66.5</v>
      </c>
      <c r="C48">
        <v>90.3</v>
      </c>
      <c r="D48">
        <v>82</v>
      </c>
      <c r="E48">
        <v>107.1</v>
      </c>
      <c r="F48">
        <v>185.4</v>
      </c>
      <c r="G48">
        <v>112.9</v>
      </c>
      <c r="H48">
        <v>15.3</v>
      </c>
      <c r="I48">
        <v>78.400000000000006</v>
      </c>
      <c r="J48">
        <v>84.6</v>
      </c>
      <c r="K48">
        <v>155.5</v>
      </c>
      <c r="L48">
        <v>65.5</v>
      </c>
      <c r="M48">
        <v>6.8</v>
      </c>
    </row>
    <row r="49" spans="1:13" x14ac:dyDescent="0.25">
      <c r="A49" t="s">
        <v>355</v>
      </c>
      <c r="B49">
        <v>113.6</v>
      </c>
      <c r="C49">
        <v>183</v>
      </c>
      <c r="D49">
        <v>229.8</v>
      </c>
      <c r="E49">
        <v>254.9</v>
      </c>
      <c r="F49">
        <v>179.9</v>
      </c>
      <c r="G49">
        <v>104.3</v>
      </c>
      <c r="H49">
        <v>42.5</v>
      </c>
      <c r="I49">
        <v>148.69999999999999</v>
      </c>
      <c r="J49">
        <v>212.3</v>
      </c>
      <c r="K49">
        <v>181</v>
      </c>
      <c r="L49">
        <v>99</v>
      </c>
      <c r="M49">
        <v>8.4</v>
      </c>
    </row>
    <row r="50" spans="1:13" x14ac:dyDescent="0.25">
      <c r="A50" t="s">
        <v>358</v>
      </c>
      <c r="B50">
        <v>46.4</v>
      </c>
      <c r="C50">
        <v>103.7</v>
      </c>
      <c r="D50">
        <v>130.69999999999999</v>
      </c>
      <c r="E50">
        <v>231.2</v>
      </c>
      <c r="F50">
        <v>202.7</v>
      </c>
      <c r="G50">
        <v>88.7</v>
      </c>
      <c r="H50">
        <v>44.6</v>
      </c>
      <c r="I50">
        <v>64.900000000000006</v>
      </c>
      <c r="J50">
        <v>112.5</v>
      </c>
      <c r="K50">
        <v>145.19999999999999</v>
      </c>
      <c r="L50">
        <v>91.3</v>
      </c>
      <c r="M50">
        <v>12.8</v>
      </c>
    </row>
    <row r="51" spans="1:13" x14ac:dyDescent="0.25">
      <c r="A51" t="s">
        <v>362</v>
      </c>
      <c r="B51">
        <v>69.099999999999994</v>
      </c>
      <c r="C51">
        <v>87.3</v>
      </c>
      <c r="D51">
        <v>56.3</v>
      </c>
      <c r="E51">
        <v>92.7</v>
      </c>
      <c r="F51">
        <v>79</v>
      </c>
      <c r="G51">
        <v>94.7</v>
      </c>
      <c r="H51">
        <v>7.3</v>
      </c>
      <c r="I51">
        <v>27.6</v>
      </c>
      <c r="J51">
        <v>76</v>
      </c>
      <c r="K51">
        <v>187.2</v>
      </c>
      <c r="L51">
        <v>108.5</v>
      </c>
      <c r="M51">
        <v>2.2999999999999998</v>
      </c>
    </row>
    <row r="52" spans="1:13" x14ac:dyDescent="0.25">
      <c r="A52" t="s">
        <v>365</v>
      </c>
      <c r="B52">
        <v>53.2</v>
      </c>
      <c r="C52">
        <v>129.80000000000001</v>
      </c>
      <c r="D52">
        <v>63.1</v>
      </c>
      <c r="E52">
        <v>129</v>
      </c>
      <c r="F52">
        <v>123.6</v>
      </c>
      <c r="G52">
        <v>63.3</v>
      </c>
      <c r="H52">
        <v>2.7</v>
      </c>
      <c r="I52">
        <v>19.3</v>
      </c>
      <c r="J52">
        <v>33.299999999999997</v>
      </c>
      <c r="K52">
        <v>263.5</v>
      </c>
      <c r="L52">
        <v>79.3</v>
      </c>
      <c r="M52">
        <v>3.8</v>
      </c>
    </row>
    <row r="53" spans="1:13" x14ac:dyDescent="0.25">
      <c r="A53" t="s">
        <v>368</v>
      </c>
      <c r="B53">
        <v>42.4</v>
      </c>
      <c r="C53">
        <v>60.6</v>
      </c>
      <c r="D53">
        <v>59.5</v>
      </c>
      <c r="E53">
        <v>88.7</v>
      </c>
      <c r="F53">
        <v>66.8</v>
      </c>
      <c r="G53">
        <v>44</v>
      </c>
      <c r="H53">
        <v>27.3</v>
      </c>
      <c r="I53">
        <v>98.2</v>
      </c>
      <c r="J53">
        <v>38.299999999999997</v>
      </c>
      <c r="K53">
        <v>196.2</v>
      </c>
      <c r="L53">
        <v>63.6</v>
      </c>
      <c r="M53">
        <v>5.8</v>
      </c>
    </row>
    <row r="54" spans="1:13" x14ac:dyDescent="0.25">
      <c r="A54" t="s">
        <v>371</v>
      </c>
      <c r="B54">
        <v>65.3</v>
      </c>
      <c r="C54">
        <v>100.5</v>
      </c>
      <c r="D54">
        <v>45.6</v>
      </c>
      <c r="E54">
        <v>78.8</v>
      </c>
      <c r="F54">
        <v>68.599999999999994</v>
      </c>
      <c r="G54">
        <v>82.5</v>
      </c>
      <c r="H54">
        <v>13.9</v>
      </c>
      <c r="I54">
        <v>91.5</v>
      </c>
      <c r="J54">
        <v>41.2</v>
      </c>
      <c r="K54">
        <v>191.8</v>
      </c>
      <c r="L54">
        <v>74.599999999999994</v>
      </c>
      <c r="M54">
        <v>4.3</v>
      </c>
    </row>
    <row r="55" spans="1:13" x14ac:dyDescent="0.25">
      <c r="A55" t="s">
        <v>375</v>
      </c>
      <c r="B55">
        <v>85.7</v>
      </c>
      <c r="C55">
        <v>85.9</v>
      </c>
      <c r="D55">
        <v>67.400000000000006</v>
      </c>
      <c r="E55">
        <v>70.5</v>
      </c>
      <c r="F55">
        <v>194.7</v>
      </c>
      <c r="G55">
        <v>84.6</v>
      </c>
      <c r="H55">
        <v>12.4</v>
      </c>
      <c r="I55">
        <v>93.1</v>
      </c>
      <c r="J55">
        <v>9.6</v>
      </c>
      <c r="K55">
        <v>181.2</v>
      </c>
      <c r="L55">
        <v>88</v>
      </c>
      <c r="M55">
        <v>5.4</v>
      </c>
    </row>
    <row r="56" spans="1:13" x14ac:dyDescent="0.25">
      <c r="A56" t="s">
        <v>378</v>
      </c>
      <c r="B56">
        <v>76.8</v>
      </c>
      <c r="C56">
        <v>84.9</v>
      </c>
      <c r="D56">
        <v>59.6</v>
      </c>
      <c r="E56">
        <v>84</v>
      </c>
      <c r="F56">
        <v>71.7</v>
      </c>
      <c r="G56">
        <v>37</v>
      </c>
      <c r="H56">
        <v>71.400000000000006</v>
      </c>
      <c r="I56">
        <v>64.900000000000006</v>
      </c>
      <c r="J56">
        <v>42</v>
      </c>
      <c r="K56">
        <v>170.2</v>
      </c>
      <c r="L56">
        <v>88</v>
      </c>
      <c r="M56">
        <v>6.1</v>
      </c>
    </row>
    <row r="57" spans="1:13" x14ac:dyDescent="0.25">
      <c r="A57" t="s">
        <v>381</v>
      </c>
      <c r="B57">
        <v>83.8</v>
      </c>
      <c r="C57">
        <v>88</v>
      </c>
      <c r="D57">
        <v>54.1</v>
      </c>
      <c r="E57">
        <v>66.099999999999994</v>
      </c>
      <c r="F57">
        <v>113.6</v>
      </c>
      <c r="G57">
        <v>98</v>
      </c>
      <c r="H57">
        <v>29.8</v>
      </c>
      <c r="I57">
        <v>80.599999999999994</v>
      </c>
      <c r="J57">
        <v>24</v>
      </c>
      <c r="K57">
        <v>172.6</v>
      </c>
      <c r="L57">
        <v>89.6</v>
      </c>
      <c r="M57">
        <v>7</v>
      </c>
    </row>
    <row r="58" spans="1:13" x14ac:dyDescent="0.25">
      <c r="A58" t="s">
        <v>384</v>
      </c>
      <c r="B58">
        <v>68.2</v>
      </c>
      <c r="C58">
        <v>87.8</v>
      </c>
      <c r="D58">
        <v>63.2</v>
      </c>
      <c r="E58">
        <v>84.6</v>
      </c>
      <c r="F58">
        <v>183.7</v>
      </c>
      <c r="G58">
        <v>57.4</v>
      </c>
      <c r="H58">
        <v>10.4</v>
      </c>
      <c r="I58">
        <v>20.5</v>
      </c>
      <c r="J58">
        <v>17.5</v>
      </c>
      <c r="K58">
        <v>162</v>
      </c>
      <c r="L58">
        <v>116.1</v>
      </c>
      <c r="M58">
        <v>4</v>
      </c>
    </row>
    <row r="59" spans="1:13" x14ac:dyDescent="0.25">
      <c r="A59" t="s">
        <v>387</v>
      </c>
      <c r="B59">
        <v>80.3</v>
      </c>
      <c r="C59">
        <v>80.400000000000006</v>
      </c>
      <c r="D59">
        <v>67.2</v>
      </c>
      <c r="E59">
        <v>106.3</v>
      </c>
      <c r="F59">
        <v>124.8</v>
      </c>
      <c r="G59">
        <v>69.8</v>
      </c>
      <c r="H59">
        <v>26.4</v>
      </c>
      <c r="I59">
        <v>44.2</v>
      </c>
      <c r="J59">
        <v>56.9</v>
      </c>
      <c r="K59">
        <v>171.8</v>
      </c>
      <c r="L59">
        <v>145.69999999999999</v>
      </c>
      <c r="M59">
        <v>3.6</v>
      </c>
    </row>
    <row r="60" spans="1:13" x14ac:dyDescent="0.25">
      <c r="A60" t="s">
        <v>390</v>
      </c>
      <c r="B60">
        <v>84</v>
      </c>
      <c r="C60">
        <v>110.1</v>
      </c>
      <c r="D60">
        <v>58.4</v>
      </c>
      <c r="E60">
        <v>90.1</v>
      </c>
      <c r="F60">
        <v>118.6</v>
      </c>
      <c r="G60">
        <v>43.2</v>
      </c>
      <c r="H60">
        <v>20.9</v>
      </c>
      <c r="I60">
        <v>34.200000000000003</v>
      </c>
      <c r="J60">
        <v>52</v>
      </c>
      <c r="K60">
        <v>194.7</v>
      </c>
      <c r="L60">
        <v>129.30000000000001</v>
      </c>
      <c r="M60">
        <v>3.1</v>
      </c>
    </row>
    <row r="61" spans="1:13" x14ac:dyDescent="0.25">
      <c r="A61" t="s">
        <v>394</v>
      </c>
      <c r="B61">
        <v>10.8</v>
      </c>
      <c r="C61">
        <v>116.6</v>
      </c>
      <c r="D61">
        <v>22.5</v>
      </c>
      <c r="E61">
        <v>61</v>
      </c>
      <c r="F61">
        <v>15.2</v>
      </c>
      <c r="G61">
        <v>17.8</v>
      </c>
      <c r="H61">
        <v>6.9</v>
      </c>
      <c r="I61">
        <v>27.4</v>
      </c>
      <c r="J61">
        <v>71.599999999999994</v>
      </c>
      <c r="K61">
        <v>197.1</v>
      </c>
      <c r="L61">
        <v>70.400000000000006</v>
      </c>
      <c r="M61">
        <v>3.9</v>
      </c>
    </row>
    <row r="62" spans="1:13" x14ac:dyDescent="0.25">
      <c r="A62" t="s">
        <v>397</v>
      </c>
      <c r="B62">
        <v>52.4</v>
      </c>
      <c r="C62">
        <v>100.7</v>
      </c>
      <c r="D62">
        <v>67.599999999999994</v>
      </c>
      <c r="E62">
        <v>155.6</v>
      </c>
      <c r="F62">
        <v>127.4</v>
      </c>
      <c r="G62">
        <v>17.5</v>
      </c>
      <c r="H62">
        <v>5.7</v>
      </c>
      <c r="I62">
        <v>25.6</v>
      </c>
      <c r="J62">
        <v>46.7</v>
      </c>
      <c r="K62">
        <v>314.39999999999998</v>
      </c>
      <c r="L62">
        <v>93.1</v>
      </c>
      <c r="M62">
        <v>14</v>
      </c>
    </row>
    <row r="63" spans="1:13" x14ac:dyDescent="0.25">
      <c r="A63" t="s">
        <v>400</v>
      </c>
      <c r="B63">
        <v>16.5</v>
      </c>
      <c r="C63">
        <v>101.4</v>
      </c>
      <c r="D63">
        <v>32.5</v>
      </c>
      <c r="E63">
        <v>64.8</v>
      </c>
      <c r="F63">
        <v>55.8</v>
      </c>
      <c r="G63">
        <v>10.7</v>
      </c>
      <c r="H63">
        <v>5.2</v>
      </c>
      <c r="I63">
        <v>102.2</v>
      </c>
      <c r="J63">
        <v>26.2</v>
      </c>
      <c r="K63">
        <v>287.8</v>
      </c>
      <c r="L63">
        <v>69.7</v>
      </c>
      <c r="M63">
        <v>4.9000000000000004</v>
      </c>
    </row>
    <row r="64" spans="1:13" x14ac:dyDescent="0.25">
      <c r="A64" t="s">
        <v>403</v>
      </c>
      <c r="B64">
        <v>12</v>
      </c>
      <c r="C64">
        <v>88.3</v>
      </c>
      <c r="D64">
        <v>19.7</v>
      </c>
      <c r="E64">
        <v>62.3</v>
      </c>
      <c r="F64">
        <v>19.8</v>
      </c>
      <c r="G64">
        <v>9.3000000000000007</v>
      </c>
      <c r="H64">
        <v>5.2</v>
      </c>
      <c r="I64">
        <v>100.1</v>
      </c>
      <c r="J64">
        <v>29.8</v>
      </c>
      <c r="K64">
        <v>275.60000000000002</v>
      </c>
      <c r="L64">
        <v>55.3</v>
      </c>
      <c r="M64">
        <v>5.0999999999999996</v>
      </c>
    </row>
    <row r="65" spans="1:13" x14ac:dyDescent="0.25">
      <c r="A65" t="s">
        <v>407</v>
      </c>
      <c r="B65">
        <v>9.8000000000000007</v>
      </c>
      <c r="C65">
        <v>42.4</v>
      </c>
      <c r="D65">
        <v>25.8</v>
      </c>
      <c r="E65">
        <v>58.8</v>
      </c>
      <c r="F65">
        <v>25.2</v>
      </c>
      <c r="G65">
        <v>7.3</v>
      </c>
      <c r="H65">
        <v>35.200000000000003</v>
      </c>
      <c r="I65">
        <v>91.6</v>
      </c>
      <c r="J65">
        <v>42.5</v>
      </c>
      <c r="K65">
        <v>234.6</v>
      </c>
      <c r="L65">
        <v>115.4</v>
      </c>
      <c r="M65">
        <v>8.1999999999999993</v>
      </c>
    </row>
    <row r="66" spans="1:13" x14ac:dyDescent="0.25">
      <c r="A66" t="s">
        <v>410</v>
      </c>
      <c r="B66">
        <v>11.8</v>
      </c>
      <c r="C66">
        <v>59.1</v>
      </c>
      <c r="D66">
        <v>18.3</v>
      </c>
      <c r="E66">
        <v>45.3</v>
      </c>
      <c r="F66">
        <v>52.1</v>
      </c>
      <c r="G66">
        <v>3.5</v>
      </c>
      <c r="H66">
        <v>18.7</v>
      </c>
      <c r="I66">
        <v>21.3</v>
      </c>
      <c r="J66">
        <v>41.9</v>
      </c>
      <c r="K66">
        <v>190.2</v>
      </c>
      <c r="L66">
        <v>59</v>
      </c>
      <c r="M66">
        <v>6.2</v>
      </c>
    </row>
    <row r="67" spans="1:13" x14ac:dyDescent="0.25">
      <c r="A67" t="s">
        <v>413</v>
      </c>
      <c r="B67">
        <v>10.7</v>
      </c>
      <c r="C67">
        <v>53.5</v>
      </c>
      <c r="D67">
        <v>22.4</v>
      </c>
      <c r="E67">
        <v>39.799999999999997</v>
      </c>
      <c r="F67">
        <v>106.5</v>
      </c>
      <c r="G67">
        <v>9.1</v>
      </c>
      <c r="H67">
        <v>14.1</v>
      </c>
      <c r="I67">
        <v>15</v>
      </c>
      <c r="J67">
        <v>28.5</v>
      </c>
      <c r="K67">
        <v>226.8</v>
      </c>
      <c r="L67">
        <v>164.7</v>
      </c>
      <c r="M67">
        <v>8</v>
      </c>
    </row>
    <row r="68" spans="1:13" x14ac:dyDescent="0.25">
      <c r="A68" t="s">
        <v>416</v>
      </c>
      <c r="B68">
        <v>9.6</v>
      </c>
      <c r="C68">
        <v>68.900000000000006</v>
      </c>
      <c r="D68">
        <v>27</v>
      </c>
      <c r="E68">
        <v>44.3</v>
      </c>
      <c r="F68">
        <v>50</v>
      </c>
      <c r="G68">
        <v>5.5</v>
      </c>
      <c r="H68">
        <v>12.8</v>
      </c>
      <c r="I68">
        <v>14.9</v>
      </c>
      <c r="J68">
        <v>61.5</v>
      </c>
      <c r="K68">
        <v>220.3</v>
      </c>
      <c r="L68">
        <v>52.8</v>
      </c>
      <c r="M68">
        <v>7.5</v>
      </c>
    </row>
    <row r="69" spans="1:13" x14ac:dyDescent="0.25">
      <c r="A69" t="s">
        <v>419</v>
      </c>
      <c r="B69">
        <v>71.400000000000006</v>
      </c>
      <c r="C69">
        <v>67.7</v>
      </c>
      <c r="D69">
        <v>45</v>
      </c>
      <c r="E69">
        <v>158.1</v>
      </c>
      <c r="F69">
        <v>89.1</v>
      </c>
      <c r="G69">
        <v>51.8</v>
      </c>
      <c r="H69">
        <v>51.3</v>
      </c>
      <c r="I69">
        <v>50.7</v>
      </c>
      <c r="J69">
        <v>82.9</v>
      </c>
      <c r="K69">
        <v>462.4</v>
      </c>
      <c r="L69">
        <v>301.10000000000002</v>
      </c>
      <c r="M69">
        <v>51</v>
      </c>
    </row>
    <row r="70" spans="1:13" x14ac:dyDescent="0.25">
      <c r="A70" t="s">
        <v>423</v>
      </c>
      <c r="B70">
        <v>24.8</v>
      </c>
      <c r="C70">
        <v>64.599999999999994</v>
      </c>
      <c r="D70">
        <v>38.4</v>
      </c>
      <c r="E70">
        <v>118.2</v>
      </c>
      <c r="F70">
        <v>55.1</v>
      </c>
      <c r="G70">
        <v>47.7</v>
      </c>
      <c r="H70">
        <v>22.6</v>
      </c>
      <c r="I70">
        <v>18.5</v>
      </c>
      <c r="J70">
        <v>3.5</v>
      </c>
      <c r="K70">
        <v>221.9</v>
      </c>
      <c r="L70">
        <v>149.19999999999999</v>
      </c>
      <c r="M70">
        <v>11.6</v>
      </c>
    </row>
    <row r="71" spans="1:13" x14ac:dyDescent="0.25">
      <c r="A71" t="s">
        <v>426</v>
      </c>
      <c r="B71">
        <v>35.200000000000003</v>
      </c>
      <c r="C71">
        <v>77</v>
      </c>
      <c r="D71">
        <v>47</v>
      </c>
      <c r="E71">
        <v>129.1</v>
      </c>
      <c r="F71">
        <v>61.4</v>
      </c>
      <c r="G71">
        <v>10.7</v>
      </c>
      <c r="H71">
        <v>51.2</v>
      </c>
      <c r="I71">
        <v>17.2</v>
      </c>
      <c r="J71">
        <v>5.6</v>
      </c>
      <c r="K71">
        <v>189.7</v>
      </c>
      <c r="L71">
        <v>327.3</v>
      </c>
      <c r="M71">
        <v>15</v>
      </c>
    </row>
    <row r="72" spans="1:13" x14ac:dyDescent="0.25">
      <c r="A72" t="s">
        <v>429</v>
      </c>
      <c r="B72">
        <v>25.5</v>
      </c>
      <c r="C72">
        <v>72.3</v>
      </c>
      <c r="D72">
        <v>52.6</v>
      </c>
      <c r="E72">
        <v>86.4</v>
      </c>
      <c r="F72">
        <v>46.4</v>
      </c>
      <c r="G72">
        <v>17.899999999999999</v>
      </c>
      <c r="H72">
        <v>47.8</v>
      </c>
      <c r="I72">
        <v>23.4</v>
      </c>
      <c r="J72">
        <v>16.899999999999999</v>
      </c>
      <c r="K72">
        <v>158.9</v>
      </c>
      <c r="L72">
        <v>232.9</v>
      </c>
      <c r="M72">
        <v>14.7</v>
      </c>
    </row>
    <row r="73" spans="1:13" x14ac:dyDescent="0.25">
      <c r="A73" t="s">
        <v>432</v>
      </c>
      <c r="B73">
        <v>31.2</v>
      </c>
      <c r="C73">
        <v>72.3</v>
      </c>
      <c r="D73">
        <v>44.1</v>
      </c>
      <c r="E73">
        <v>114.3</v>
      </c>
      <c r="F73">
        <v>46.6</v>
      </c>
      <c r="G73">
        <v>28.7</v>
      </c>
      <c r="H73">
        <v>60</v>
      </c>
      <c r="I73">
        <v>27.2</v>
      </c>
      <c r="J73">
        <v>11</v>
      </c>
      <c r="K73">
        <v>161</v>
      </c>
      <c r="L73">
        <v>293.7</v>
      </c>
      <c r="M73">
        <v>15.4</v>
      </c>
    </row>
    <row r="74" spans="1:13" x14ac:dyDescent="0.25">
      <c r="A74" t="s">
        <v>435</v>
      </c>
      <c r="B74">
        <v>50</v>
      </c>
      <c r="C74">
        <v>71.599999999999994</v>
      </c>
      <c r="D74">
        <v>61.8</v>
      </c>
      <c r="E74">
        <v>71.5</v>
      </c>
      <c r="F74">
        <v>53.6</v>
      </c>
      <c r="G74">
        <v>24.7</v>
      </c>
      <c r="H74">
        <v>46.2</v>
      </c>
      <c r="I74">
        <v>15.6</v>
      </c>
      <c r="J74">
        <v>15</v>
      </c>
      <c r="K74">
        <v>161.6</v>
      </c>
      <c r="L74">
        <v>56.6</v>
      </c>
      <c r="M74">
        <v>27.2</v>
      </c>
    </row>
    <row r="75" spans="1:13" x14ac:dyDescent="0.25">
      <c r="A75" t="s">
        <v>439</v>
      </c>
      <c r="B75">
        <v>52.2</v>
      </c>
      <c r="C75">
        <v>117</v>
      </c>
      <c r="D75">
        <v>89.8</v>
      </c>
      <c r="E75">
        <v>53.2</v>
      </c>
      <c r="F75">
        <v>36.9</v>
      </c>
      <c r="G75">
        <v>37.200000000000003</v>
      </c>
      <c r="H75">
        <v>9.4</v>
      </c>
      <c r="I75">
        <v>85</v>
      </c>
      <c r="J75">
        <v>87.1</v>
      </c>
      <c r="K75">
        <v>171.1</v>
      </c>
      <c r="L75">
        <v>132.5</v>
      </c>
      <c r="M75">
        <v>4.4000000000000004</v>
      </c>
    </row>
    <row r="76" spans="1:13" x14ac:dyDescent="0.25">
      <c r="A76" t="s">
        <v>442</v>
      </c>
      <c r="B76">
        <v>46.9</v>
      </c>
      <c r="C76">
        <v>154</v>
      </c>
      <c r="D76">
        <v>64.900000000000006</v>
      </c>
      <c r="E76">
        <v>47.6</v>
      </c>
      <c r="F76">
        <v>25.9</v>
      </c>
      <c r="G76">
        <v>73.2</v>
      </c>
      <c r="H76">
        <v>6</v>
      </c>
      <c r="I76">
        <v>60.5</v>
      </c>
      <c r="J76">
        <v>115.6</v>
      </c>
      <c r="K76">
        <v>173.7</v>
      </c>
      <c r="L76">
        <v>96.3</v>
      </c>
      <c r="M76">
        <v>7</v>
      </c>
    </row>
    <row r="77" spans="1:13" x14ac:dyDescent="0.25">
      <c r="A77" t="s">
        <v>445</v>
      </c>
      <c r="B77">
        <v>48.2</v>
      </c>
      <c r="C77">
        <v>96.4</v>
      </c>
      <c r="D77">
        <v>74.2</v>
      </c>
      <c r="E77">
        <v>39</v>
      </c>
      <c r="F77">
        <v>36.1</v>
      </c>
      <c r="G77">
        <v>32.6</v>
      </c>
      <c r="H77">
        <v>19</v>
      </c>
      <c r="I77">
        <v>85.4</v>
      </c>
      <c r="J77">
        <v>82.3</v>
      </c>
      <c r="K77">
        <v>184.6</v>
      </c>
      <c r="L77">
        <v>97.5</v>
      </c>
      <c r="M77">
        <v>4.5</v>
      </c>
    </row>
    <row r="78" spans="1:13" x14ac:dyDescent="0.25">
      <c r="A78" t="s">
        <v>448</v>
      </c>
      <c r="B78">
        <v>101.5</v>
      </c>
      <c r="C78">
        <v>169.2</v>
      </c>
      <c r="D78">
        <v>93.9</v>
      </c>
      <c r="E78">
        <v>83.7</v>
      </c>
      <c r="F78">
        <v>31.6</v>
      </c>
      <c r="G78">
        <v>99.1</v>
      </c>
      <c r="H78">
        <v>20.2</v>
      </c>
      <c r="I78">
        <v>123.7</v>
      </c>
      <c r="J78">
        <v>56.9</v>
      </c>
      <c r="K78">
        <v>180.1</v>
      </c>
      <c r="L78">
        <v>174.2</v>
      </c>
      <c r="M78">
        <v>3.8</v>
      </c>
    </row>
    <row r="79" spans="1:13" x14ac:dyDescent="0.25">
      <c r="A79" t="s">
        <v>451</v>
      </c>
      <c r="B79">
        <v>48.6</v>
      </c>
      <c r="C79">
        <v>139.19999999999999</v>
      </c>
      <c r="D79">
        <v>63.2</v>
      </c>
      <c r="E79">
        <v>41.3</v>
      </c>
      <c r="F79">
        <v>41.4</v>
      </c>
      <c r="G79">
        <v>43.2</v>
      </c>
      <c r="H79">
        <v>5.9</v>
      </c>
      <c r="I79">
        <v>83.5</v>
      </c>
      <c r="J79">
        <v>47.5</v>
      </c>
      <c r="K79">
        <v>145.80000000000001</v>
      </c>
      <c r="L79">
        <v>176.9</v>
      </c>
      <c r="M79">
        <v>4.0999999999999996</v>
      </c>
    </row>
    <row r="80" spans="1:13" x14ac:dyDescent="0.25">
      <c r="A80" t="s">
        <v>455</v>
      </c>
      <c r="B80">
        <v>43.5</v>
      </c>
      <c r="C80">
        <v>125.2</v>
      </c>
      <c r="D80">
        <v>44.1</v>
      </c>
      <c r="E80">
        <v>41.1</v>
      </c>
      <c r="F80">
        <v>14.3</v>
      </c>
      <c r="G80">
        <v>42.9</v>
      </c>
      <c r="H80">
        <v>2.4</v>
      </c>
      <c r="I80">
        <v>113.5</v>
      </c>
      <c r="J80">
        <v>108.3</v>
      </c>
      <c r="K80">
        <v>250.8</v>
      </c>
      <c r="L80">
        <v>69.599999999999994</v>
      </c>
      <c r="M80">
        <v>3.9</v>
      </c>
    </row>
    <row r="81" spans="1:13" x14ac:dyDescent="0.25">
      <c r="A81" t="s">
        <v>458</v>
      </c>
      <c r="B81">
        <v>36.200000000000003</v>
      </c>
      <c r="C81">
        <v>118.1</v>
      </c>
      <c r="D81">
        <v>73.900000000000006</v>
      </c>
      <c r="E81">
        <v>103.6</v>
      </c>
      <c r="F81">
        <v>67.900000000000006</v>
      </c>
      <c r="G81">
        <v>38.5</v>
      </c>
      <c r="H81">
        <v>1.9</v>
      </c>
      <c r="I81">
        <v>76.3</v>
      </c>
      <c r="J81">
        <v>34.5</v>
      </c>
      <c r="K81">
        <v>328.6</v>
      </c>
      <c r="L81">
        <v>70.2</v>
      </c>
      <c r="M81">
        <v>6.1</v>
      </c>
    </row>
    <row r="82" spans="1:13" x14ac:dyDescent="0.25">
      <c r="A82" t="s">
        <v>461</v>
      </c>
      <c r="B82">
        <v>26.7</v>
      </c>
      <c r="C82">
        <v>111.2</v>
      </c>
      <c r="D82">
        <v>42.5</v>
      </c>
      <c r="E82">
        <v>66.599999999999994</v>
      </c>
      <c r="F82">
        <v>19.2</v>
      </c>
      <c r="G82">
        <v>32.799999999999997</v>
      </c>
      <c r="H82">
        <v>28.4</v>
      </c>
      <c r="I82">
        <v>89.9</v>
      </c>
      <c r="J82">
        <v>96.8</v>
      </c>
      <c r="K82">
        <v>239.8</v>
      </c>
      <c r="L82">
        <v>71.900000000000006</v>
      </c>
      <c r="M82">
        <v>4.2</v>
      </c>
    </row>
    <row r="83" spans="1:13" x14ac:dyDescent="0.25">
      <c r="A83" t="s">
        <v>464</v>
      </c>
      <c r="B83">
        <v>19.2</v>
      </c>
      <c r="C83">
        <v>98.6</v>
      </c>
      <c r="D83">
        <v>45.1</v>
      </c>
      <c r="E83">
        <v>76.099999999999994</v>
      </c>
      <c r="F83">
        <v>21.7</v>
      </c>
      <c r="G83">
        <v>47.8</v>
      </c>
      <c r="H83">
        <v>9</v>
      </c>
      <c r="I83">
        <v>60.5</v>
      </c>
      <c r="J83">
        <v>65.599999999999994</v>
      </c>
      <c r="K83">
        <v>247.8</v>
      </c>
      <c r="L83">
        <v>59.6</v>
      </c>
      <c r="M83">
        <v>4.5</v>
      </c>
    </row>
    <row r="84" spans="1:13" x14ac:dyDescent="0.25">
      <c r="A84" t="s">
        <v>468</v>
      </c>
      <c r="B84">
        <v>71.7</v>
      </c>
      <c r="C84">
        <v>82.7</v>
      </c>
      <c r="D84">
        <v>75.8</v>
      </c>
      <c r="E84">
        <v>34.1</v>
      </c>
      <c r="F84">
        <v>40.799999999999997</v>
      </c>
      <c r="G84">
        <v>34</v>
      </c>
      <c r="H84">
        <v>57.1</v>
      </c>
      <c r="I84">
        <v>30.9</v>
      </c>
      <c r="J84">
        <v>116.2</v>
      </c>
      <c r="K84">
        <v>151.19999999999999</v>
      </c>
      <c r="L84">
        <v>108.6</v>
      </c>
      <c r="M84">
        <v>3.3</v>
      </c>
    </row>
    <row r="85" spans="1:13" x14ac:dyDescent="0.25">
      <c r="A85" t="s">
        <v>471</v>
      </c>
      <c r="B85">
        <v>55.4</v>
      </c>
      <c r="C85">
        <v>89.6</v>
      </c>
      <c r="D85">
        <v>79.099999999999994</v>
      </c>
      <c r="E85">
        <v>48.6</v>
      </c>
      <c r="F85">
        <v>87.6</v>
      </c>
      <c r="G85">
        <v>12.9</v>
      </c>
      <c r="H85">
        <v>24.7</v>
      </c>
      <c r="I85">
        <v>96.2</v>
      </c>
      <c r="J85">
        <v>154.80000000000001</v>
      </c>
      <c r="K85">
        <v>187.9</v>
      </c>
      <c r="L85">
        <v>168.8</v>
      </c>
      <c r="M85">
        <v>4.5999999999999996</v>
      </c>
    </row>
    <row r="86" spans="1:13" x14ac:dyDescent="0.25">
      <c r="A86" t="s">
        <v>474</v>
      </c>
      <c r="B86">
        <v>62.5</v>
      </c>
      <c r="C86">
        <v>104</v>
      </c>
      <c r="D86">
        <v>113.5</v>
      </c>
      <c r="E86">
        <v>58.6</v>
      </c>
      <c r="F86">
        <v>53.6</v>
      </c>
      <c r="G86">
        <v>52.7</v>
      </c>
      <c r="H86">
        <v>51.4</v>
      </c>
      <c r="I86">
        <v>36.200000000000003</v>
      </c>
      <c r="J86">
        <v>43.6</v>
      </c>
      <c r="K86">
        <v>195.6</v>
      </c>
      <c r="L86">
        <v>207.6</v>
      </c>
      <c r="M86">
        <v>4.9000000000000004</v>
      </c>
    </row>
    <row r="87" spans="1:13" x14ac:dyDescent="0.25">
      <c r="A87" t="s">
        <v>477</v>
      </c>
      <c r="B87">
        <v>55.6</v>
      </c>
      <c r="C87">
        <v>108.7</v>
      </c>
      <c r="D87">
        <v>104.3</v>
      </c>
      <c r="E87">
        <v>53.8</v>
      </c>
      <c r="F87">
        <v>41.8</v>
      </c>
      <c r="G87">
        <v>52.5</v>
      </c>
      <c r="H87">
        <v>12.4</v>
      </c>
      <c r="I87">
        <v>47.3</v>
      </c>
      <c r="J87">
        <v>93.9</v>
      </c>
      <c r="K87">
        <v>217.1</v>
      </c>
      <c r="L87">
        <v>128</v>
      </c>
      <c r="M87">
        <v>4.4000000000000004</v>
      </c>
    </row>
    <row r="88" spans="1:13" x14ac:dyDescent="0.25">
      <c r="A88" t="s">
        <v>481</v>
      </c>
      <c r="B88">
        <v>74.599999999999994</v>
      </c>
      <c r="C88">
        <v>111.7</v>
      </c>
      <c r="D88">
        <v>85.2</v>
      </c>
      <c r="E88">
        <v>163.19999999999999</v>
      </c>
      <c r="F88">
        <v>152.6</v>
      </c>
      <c r="G88">
        <v>71.2</v>
      </c>
      <c r="H88">
        <v>133.69999999999999</v>
      </c>
      <c r="I88">
        <v>265.89999999999998</v>
      </c>
      <c r="J88">
        <v>72.2</v>
      </c>
      <c r="K88">
        <v>311.60000000000002</v>
      </c>
      <c r="L88">
        <v>88.6</v>
      </c>
      <c r="M88">
        <v>8.6</v>
      </c>
    </row>
    <row r="89" spans="1:13" x14ac:dyDescent="0.25">
      <c r="A89" t="s">
        <v>484</v>
      </c>
      <c r="B89">
        <v>119.1</v>
      </c>
      <c r="C89">
        <v>145.9</v>
      </c>
      <c r="D89">
        <v>124.9</v>
      </c>
      <c r="E89">
        <v>184.8</v>
      </c>
      <c r="F89">
        <v>220.7</v>
      </c>
      <c r="G89">
        <v>132.30000000000001</v>
      </c>
      <c r="H89">
        <v>106.8</v>
      </c>
      <c r="I89">
        <v>192.8</v>
      </c>
      <c r="J89">
        <v>108.9</v>
      </c>
      <c r="K89">
        <v>321.39999999999998</v>
      </c>
      <c r="L89">
        <v>97.1</v>
      </c>
      <c r="M89">
        <v>12.7</v>
      </c>
    </row>
    <row r="90" spans="1:13" x14ac:dyDescent="0.25">
      <c r="A90" t="s">
        <v>487</v>
      </c>
      <c r="B90">
        <v>86.8</v>
      </c>
      <c r="C90">
        <v>132.69999999999999</v>
      </c>
      <c r="D90">
        <v>70.900000000000006</v>
      </c>
      <c r="E90">
        <v>136.80000000000001</v>
      </c>
      <c r="F90">
        <v>169.6</v>
      </c>
      <c r="G90">
        <v>102.4</v>
      </c>
      <c r="H90">
        <v>122.6</v>
      </c>
      <c r="I90">
        <v>201.6</v>
      </c>
      <c r="J90">
        <v>44.1</v>
      </c>
      <c r="K90">
        <v>277.60000000000002</v>
      </c>
      <c r="L90">
        <v>95.9</v>
      </c>
      <c r="M90">
        <v>11.3</v>
      </c>
    </row>
    <row r="91" spans="1:13" x14ac:dyDescent="0.25">
      <c r="A91" t="s">
        <v>490</v>
      </c>
      <c r="B91">
        <v>92.6</v>
      </c>
      <c r="C91">
        <v>142.19999999999999</v>
      </c>
      <c r="D91">
        <v>59.2</v>
      </c>
      <c r="E91">
        <v>107.1</v>
      </c>
      <c r="F91">
        <v>189.1</v>
      </c>
      <c r="G91">
        <v>82.5</v>
      </c>
      <c r="H91">
        <v>73.599999999999994</v>
      </c>
      <c r="I91">
        <v>194.3</v>
      </c>
      <c r="J91">
        <v>79.099999999999994</v>
      </c>
      <c r="K91">
        <v>206.5</v>
      </c>
      <c r="L91">
        <v>71.5</v>
      </c>
      <c r="M91">
        <v>5.7</v>
      </c>
    </row>
    <row r="92" spans="1:13" x14ac:dyDescent="0.25">
      <c r="A92" t="s">
        <v>493</v>
      </c>
      <c r="B92">
        <v>95.9</v>
      </c>
      <c r="C92">
        <v>151.80000000000001</v>
      </c>
      <c r="D92">
        <v>86.8</v>
      </c>
      <c r="E92">
        <v>105.3</v>
      </c>
      <c r="F92">
        <v>128.5</v>
      </c>
      <c r="G92">
        <v>89</v>
      </c>
      <c r="H92">
        <v>57.4</v>
      </c>
      <c r="I92">
        <v>172.6</v>
      </c>
      <c r="J92">
        <v>71.599999999999994</v>
      </c>
      <c r="K92">
        <v>241.7</v>
      </c>
      <c r="L92">
        <v>86.2</v>
      </c>
      <c r="M92">
        <v>8.8000000000000007</v>
      </c>
    </row>
    <row r="93" spans="1:13" x14ac:dyDescent="0.25">
      <c r="A93" t="s">
        <v>497</v>
      </c>
      <c r="B93">
        <v>151.5</v>
      </c>
      <c r="C93">
        <v>153.6</v>
      </c>
      <c r="D93">
        <v>159.19999999999999</v>
      </c>
      <c r="E93">
        <v>206.7</v>
      </c>
      <c r="F93">
        <v>178</v>
      </c>
      <c r="G93">
        <v>144.19999999999999</v>
      </c>
      <c r="H93">
        <v>94.7</v>
      </c>
      <c r="I93">
        <v>219.3</v>
      </c>
      <c r="J93">
        <v>115.9</v>
      </c>
      <c r="K93">
        <v>345.7</v>
      </c>
      <c r="L93">
        <v>106.3</v>
      </c>
      <c r="M93">
        <v>11.5</v>
      </c>
    </row>
    <row r="94" spans="1:13" x14ac:dyDescent="0.25">
      <c r="A94" t="s">
        <v>500</v>
      </c>
      <c r="B94">
        <v>66.599999999999994</v>
      </c>
      <c r="C94">
        <v>65.3</v>
      </c>
      <c r="D94">
        <v>38</v>
      </c>
      <c r="E94">
        <v>109.4</v>
      </c>
      <c r="F94">
        <v>83.5</v>
      </c>
      <c r="G94">
        <v>81.8</v>
      </c>
      <c r="H94">
        <v>71.3</v>
      </c>
      <c r="I94">
        <v>85.7</v>
      </c>
      <c r="J94">
        <v>33.4</v>
      </c>
      <c r="K94">
        <v>177.7</v>
      </c>
      <c r="L94">
        <v>49.2</v>
      </c>
      <c r="M94">
        <v>7.9</v>
      </c>
    </row>
    <row r="95" spans="1:13" x14ac:dyDescent="0.25">
      <c r="A95" t="s">
        <v>503</v>
      </c>
      <c r="B95">
        <v>146</v>
      </c>
      <c r="C95">
        <v>157.4</v>
      </c>
      <c r="D95">
        <v>89.8</v>
      </c>
      <c r="E95">
        <v>107.3</v>
      </c>
      <c r="F95">
        <v>142.5</v>
      </c>
      <c r="G95">
        <v>115.4</v>
      </c>
      <c r="H95">
        <v>133.5</v>
      </c>
      <c r="I95">
        <v>142.80000000000001</v>
      </c>
      <c r="J95">
        <v>99.9</v>
      </c>
      <c r="K95">
        <v>204.8</v>
      </c>
      <c r="L95">
        <v>71.900000000000006</v>
      </c>
      <c r="M95">
        <v>15.8</v>
      </c>
    </row>
    <row r="96" spans="1:13" x14ac:dyDescent="0.25">
      <c r="A96" t="s">
        <v>506</v>
      </c>
      <c r="B96">
        <v>69.7</v>
      </c>
      <c r="C96">
        <v>80</v>
      </c>
      <c r="D96">
        <v>43</v>
      </c>
      <c r="E96">
        <v>104.6</v>
      </c>
      <c r="F96">
        <v>107.7</v>
      </c>
      <c r="G96">
        <v>37.4</v>
      </c>
      <c r="H96">
        <v>75.2</v>
      </c>
      <c r="I96">
        <v>75.3</v>
      </c>
      <c r="J96">
        <v>44.6</v>
      </c>
      <c r="K96">
        <v>141.6</v>
      </c>
      <c r="L96">
        <v>39.9</v>
      </c>
      <c r="M96">
        <v>9.1999999999999993</v>
      </c>
    </row>
    <row r="97" spans="1:13" x14ac:dyDescent="0.25">
      <c r="A97" t="s">
        <v>510</v>
      </c>
      <c r="B97">
        <v>22</v>
      </c>
      <c r="C97">
        <v>68.900000000000006</v>
      </c>
      <c r="D97">
        <v>65.400000000000006</v>
      </c>
      <c r="E97">
        <v>103.1</v>
      </c>
      <c r="F97">
        <v>93.5</v>
      </c>
      <c r="G97">
        <v>16.7</v>
      </c>
      <c r="H97">
        <v>5.3</v>
      </c>
      <c r="I97">
        <v>27.7</v>
      </c>
      <c r="J97">
        <v>23.2</v>
      </c>
      <c r="K97">
        <v>246.9</v>
      </c>
      <c r="L97">
        <v>117.9</v>
      </c>
      <c r="M97">
        <v>8.1999999999999993</v>
      </c>
    </row>
    <row r="98" spans="1:13" x14ac:dyDescent="0.25">
      <c r="A98" t="s">
        <v>513</v>
      </c>
      <c r="B98">
        <v>33.299999999999997</v>
      </c>
      <c r="C98">
        <v>94.5</v>
      </c>
      <c r="D98">
        <v>48.8</v>
      </c>
      <c r="E98">
        <v>186.6</v>
      </c>
      <c r="F98">
        <v>108.6</v>
      </c>
      <c r="G98">
        <v>13.6</v>
      </c>
      <c r="H98">
        <v>3.6</v>
      </c>
      <c r="I98">
        <v>35.700000000000003</v>
      </c>
      <c r="J98">
        <v>9.3000000000000007</v>
      </c>
      <c r="K98">
        <v>212.9</v>
      </c>
      <c r="L98">
        <v>87</v>
      </c>
      <c r="M98">
        <v>9.6</v>
      </c>
    </row>
    <row r="99" spans="1:13" x14ac:dyDescent="0.25">
      <c r="A99" t="s">
        <v>516</v>
      </c>
      <c r="B99">
        <v>46.8</v>
      </c>
      <c r="C99">
        <v>67.099999999999994</v>
      </c>
      <c r="D99">
        <v>84.3</v>
      </c>
      <c r="E99">
        <v>81.7</v>
      </c>
      <c r="F99">
        <v>71.599999999999994</v>
      </c>
      <c r="G99">
        <v>54.4</v>
      </c>
      <c r="H99">
        <v>5.9</v>
      </c>
      <c r="I99">
        <v>42.4</v>
      </c>
      <c r="J99">
        <v>10.1</v>
      </c>
      <c r="K99">
        <v>206</v>
      </c>
      <c r="L99">
        <v>63.4</v>
      </c>
      <c r="M99">
        <v>5.8</v>
      </c>
    </row>
    <row r="100" spans="1:13" x14ac:dyDescent="0.25">
      <c r="A100" t="s">
        <v>520</v>
      </c>
      <c r="B100">
        <v>43</v>
      </c>
      <c r="C100">
        <v>139.6</v>
      </c>
      <c r="D100">
        <v>62.6</v>
      </c>
      <c r="E100">
        <v>75.5</v>
      </c>
      <c r="F100">
        <v>21.7</v>
      </c>
      <c r="G100">
        <v>56.4</v>
      </c>
      <c r="H100">
        <v>6.6</v>
      </c>
      <c r="I100">
        <v>67.900000000000006</v>
      </c>
      <c r="J100">
        <v>74.8</v>
      </c>
      <c r="K100">
        <v>222.4</v>
      </c>
      <c r="L100">
        <v>84.1</v>
      </c>
      <c r="M100">
        <v>4.5999999999999996</v>
      </c>
    </row>
    <row r="101" spans="1:13" x14ac:dyDescent="0.25">
      <c r="A101" t="s">
        <v>523</v>
      </c>
      <c r="B101">
        <v>47.4</v>
      </c>
      <c r="C101">
        <v>131</v>
      </c>
      <c r="D101">
        <v>71.900000000000006</v>
      </c>
      <c r="E101">
        <v>66.400000000000006</v>
      </c>
      <c r="F101">
        <v>21.9</v>
      </c>
      <c r="G101">
        <v>119.4</v>
      </c>
      <c r="H101">
        <v>6.3</v>
      </c>
      <c r="I101">
        <v>67.900000000000006</v>
      </c>
      <c r="J101">
        <v>77.099999999999994</v>
      </c>
      <c r="K101">
        <v>235.4</v>
      </c>
      <c r="L101">
        <v>71.3</v>
      </c>
      <c r="M101">
        <v>4.9000000000000004</v>
      </c>
    </row>
    <row r="102" spans="1:13" x14ac:dyDescent="0.25">
      <c r="A102" t="s">
        <v>527</v>
      </c>
      <c r="B102">
        <v>29.9</v>
      </c>
      <c r="C102">
        <v>42</v>
      </c>
      <c r="D102">
        <v>38.5</v>
      </c>
      <c r="E102">
        <v>48.3</v>
      </c>
      <c r="F102">
        <v>61.2</v>
      </c>
      <c r="G102">
        <v>10.5</v>
      </c>
      <c r="H102">
        <v>12</v>
      </c>
      <c r="I102">
        <v>19.8</v>
      </c>
      <c r="J102">
        <v>8.6999999999999993</v>
      </c>
      <c r="K102">
        <v>145.69999999999999</v>
      </c>
      <c r="L102">
        <v>98.3</v>
      </c>
      <c r="M102">
        <v>9.6999999999999993</v>
      </c>
    </row>
    <row r="103" spans="1:13" x14ac:dyDescent="0.25">
      <c r="A103" t="s">
        <v>530</v>
      </c>
      <c r="B103">
        <v>37.4</v>
      </c>
      <c r="C103">
        <v>48.2</v>
      </c>
      <c r="D103">
        <v>41.6</v>
      </c>
      <c r="E103">
        <v>74.099999999999994</v>
      </c>
      <c r="F103">
        <v>55.8</v>
      </c>
      <c r="G103">
        <v>3</v>
      </c>
      <c r="H103">
        <v>30.6</v>
      </c>
      <c r="I103">
        <v>14.8</v>
      </c>
      <c r="J103">
        <v>15.5</v>
      </c>
      <c r="K103">
        <v>129.5</v>
      </c>
      <c r="L103">
        <v>68.8</v>
      </c>
      <c r="M103">
        <v>16</v>
      </c>
    </row>
    <row r="104" spans="1:13" x14ac:dyDescent="0.25">
      <c r="A104" t="s">
        <v>534</v>
      </c>
      <c r="B104">
        <v>66.900000000000006</v>
      </c>
      <c r="C104">
        <v>152.4</v>
      </c>
      <c r="D104">
        <v>44.2</v>
      </c>
      <c r="E104">
        <v>161.9</v>
      </c>
      <c r="F104">
        <v>140.19999999999999</v>
      </c>
      <c r="G104">
        <v>69.5</v>
      </c>
      <c r="H104">
        <v>99.3</v>
      </c>
      <c r="I104">
        <v>65.400000000000006</v>
      </c>
      <c r="J104">
        <v>85.2</v>
      </c>
      <c r="K104">
        <v>230</v>
      </c>
      <c r="L104">
        <v>156.80000000000001</v>
      </c>
      <c r="M104">
        <v>7.5</v>
      </c>
    </row>
    <row r="105" spans="1:13" x14ac:dyDescent="0.25">
      <c r="A105" t="s">
        <v>537</v>
      </c>
      <c r="B105">
        <v>53.8</v>
      </c>
      <c r="C105">
        <v>137.9</v>
      </c>
      <c r="D105">
        <v>45.8</v>
      </c>
      <c r="E105">
        <v>160.5</v>
      </c>
      <c r="F105">
        <v>139.1</v>
      </c>
      <c r="G105">
        <v>83.4</v>
      </c>
      <c r="H105">
        <v>62.5</v>
      </c>
      <c r="I105">
        <v>64.5</v>
      </c>
      <c r="J105">
        <v>67</v>
      </c>
      <c r="K105">
        <v>209.5</v>
      </c>
      <c r="L105">
        <v>130</v>
      </c>
      <c r="M105">
        <v>6.8</v>
      </c>
    </row>
    <row r="106" spans="1:13" x14ac:dyDescent="0.25">
      <c r="A106" t="s">
        <v>541</v>
      </c>
      <c r="B106">
        <v>38.799999999999997</v>
      </c>
      <c r="C106">
        <v>61.5</v>
      </c>
      <c r="D106">
        <v>69.400000000000006</v>
      </c>
      <c r="E106">
        <v>135.1</v>
      </c>
      <c r="F106">
        <v>60.2</v>
      </c>
      <c r="G106">
        <v>27.5</v>
      </c>
      <c r="H106">
        <v>23.3</v>
      </c>
      <c r="I106">
        <v>67.3</v>
      </c>
      <c r="J106">
        <v>19</v>
      </c>
      <c r="K106">
        <v>155.6</v>
      </c>
      <c r="L106">
        <v>257.39999999999998</v>
      </c>
      <c r="M106">
        <v>19.100000000000001</v>
      </c>
    </row>
    <row r="107" spans="1:13" x14ac:dyDescent="0.25">
      <c r="A107" t="s">
        <v>544</v>
      </c>
      <c r="B107">
        <v>32.4</v>
      </c>
      <c r="C107">
        <v>75.3</v>
      </c>
      <c r="D107">
        <v>49.9</v>
      </c>
      <c r="E107">
        <v>100.4</v>
      </c>
      <c r="F107">
        <v>78.8</v>
      </c>
      <c r="G107">
        <v>42.1</v>
      </c>
      <c r="H107">
        <v>70.5</v>
      </c>
      <c r="I107">
        <v>107.1</v>
      </c>
      <c r="J107">
        <v>7</v>
      </c>
      <c r="K107">
        <v>278.3</v>
      </c>
      <c r="L107">
        <v>141.1</v>
      </c>
      <c r="M107">
        <v>13.2</v>
      </c>
    </row>
    <row r="108" spans="1:13" x14ac:dyDescent="0.25">
      <c r="A108" t="s">
        <v>547</v>
      </c>
      <c r="B108">
        <v>33.5</v>
      </c>
      <c r="C108">
        <v>78</v>
      </c>
      <c r="D108">
        <v>44.9</v>
      </c>
      <c r="E108">
        <v>133.9</v>
      </c>
      <c r="F108">
        <v>93.8</v>
      </c>
      <c r="G108">
        <v>39.799999999999997</v>
      </c>
      <c r="H108">
        <v>94.7</v>
      </c>
      <c r="I108">
        <v>100.3</v>
      </c>
      <c r="J108">
        <v>37.4</v>
      </c>
      <c r="K108">
        <v>214.1</v>
      </c>
      <c r="L108">
        <v>135.4</v>
      </c>
      <c r="M108">
        <v>13</v>
      </c>
    </row>
    <row r="109" spans="1:13" x14ac:dyDescent="0.25">
      <c r="A109" t="s">
        <v>551</v>
      </c>
      <c r="B109">
        <v>73</v>
      </c>
      <c r="C109">
        <v>71.400000000000006</v>
      </c>
      <c r="D109">
        <v>63.5</v>
      </c>
      <c r="E109">
        <v>75.7</v>
      </c>
      <c r="F109">
        <v>88.5</v>
      </c>
      <c r="G109">
        <v>50.2</v>
      </c>
      <c r="H109">
        <v>33.799999999999997</v>
      </c>
      <c r="I109">
        <v>73.099999999999994</v>
      </c>
      <c r="J109">
        <v>78.099999999999994</v>
      </c>
      <c r="K109">
        <v>216.2</v>
      </c>
      <c r="L109">
        <v>97.9</v>
      </c>
      <c r="M109">
        <v>2.1</v>
      </c>
    </row>
    <row r="110" spans="1:13" x14ac:dyDescent="0.25">
      <c r="A110" t="s">
        <v>554</v>
      </c>
      <c r="B110">
        <v>86.1</v>
      </c>
      <c r="C110">
        <v>92.6</v>
      </c>
      <c r="D110">
        <v>58.9</v>
      </c>
      <c r="E110">
        <v>104.6</v>
      </c>
      <c r="F110">
        <v>66.099999999999994</v>
      </c>
      <c r="G110">
        <v>15.7</v>
      </c>
      <c r="H110">
        <v>15.2</v>
      </c>
      <c r="I110">
        <v>44.6</v>
      </c>
      <c r="J110">
        <v>54</v>
      </c>
      <c r="K110">
        <v>293.8</v>
      </c>
      <c r="L110">
        <v>160.80000000000001</v>
      </c>
      <c r="M110">
        <v>5</v>
      </c>
    </row>
    <row r="111" spans="1:13" x14ac:dyDescent="0.25">
      <c r="A111" t="s">
        <v>557</v>
      </c>
      <c r="B111">
        <v>28</v>
      </c>
      <c r="C111">
        <v>64.599999999999994</v>
      </c>
      <c r="D111">
        <v>28.6</v>
      </c>
      <c r="E111">
        <v>64.099999999999994</v>
      </c>
      <c r="F111">
        <v>65.599999999999994</v>
      </c>
      <c r="G111">
        <v>35</v>
      </c>
      <c r="H111">
        <v>12</v>
      </c>
      <c r="I111">
        <v>24.7</v>
      </c>
      <c r="J111">
        <v>20.5</v>
      </c>
      <c r="K111">
        <v>154</v>
      </c>
      <c r="L111">
        <v>223.4</v>
      </c>
      <c r="M111">
        <v>6.5</v>
      </c>
    </row>
    <row r="112" spans="1:13" x14ac:dyDescent="0.25">
      <c r="A112" t="s">
        <v>561</v>
      </c>
      <c r="B112">
        <v>14.5</v>
      </c>
      <c r="C112">
        <v>51.2</v>
      </c>
      <c r="D112">
        <v>18.100000000000001</v>
      </c>
      <c r="E112">
        <v>38.299999999999997</v>
      </c>
      <c r="F112">
        <v>28.2</v>
      </c>
      <c r="G112">
        <v>66.8</v>
      </c>
      <c r="H112">
        <v>9.8000000000000007</v>
      </c>
      <c r="I112">
        <v>22.9</v>
      </c>
      <c r="J112">
        <v>72.2</v>
      </c>
      <c r="K112">
        <v>340.1</v>
      </c>
      <c r="L112">
        <v>94.9</v>
      </c>
      <c r="M112">
        <v>10.3</v>
      </c>
    </row>
    <row r="113" spans="1:13" x14ac:dyDescent="0.25">
      <c r="A113" t="s">
        <v>564</v>
      </c>
      <c r="B113">
        <v>7.8</v>
      </c>
      <c r="C113">
        <v>49.7</v>
      </c>
      <c r="D113">
        <v>15.8</v>
      </c>
      <c r="E113">
        <v>40.5</v>
      </c>
      <c r="F113">
        <v>35.4</v>
      </c>
      <c r="G113">
        <v>15.8</v>
      </c>
      <c r="H113">
        <v>11.9</v>
      </c>
      <c r="I113">
        <v>23.7</v>
      </c>
      <c r="J113">
        <v>67.5</v>
      </c>
      <c r="K113">
        <v>198.6</v>
      </c>
      <c r="L113">
        <v>91.6</v>
      </c>
      <c r="M113">
        <v>6.2</v>
      </c>
    </row>
    <row r="114" spans="1:13" x14ac:dyDescent="0.25">
      <c r="A114" t="s">
        <v>567</v>
      </c>
      <c r="B114">
        <v>12.2</v>
      </c>
      <c r="C114">
        <v>59</v>
      </c>
      <c r="D114">
        <v>15.3</v>
      </c>
      <c r="E114">
        <v>31.8</v>
      </c>
      <c r="F114">
        <v>11.7</v>
      </c>
      <c r="G114">
        <v>43.2</v>
      </c>
      <c r="H114">
        <v>6.4</v>
      </c>
      <c r="I114">
        <v>16.8</v>
      </c>
      <c r="J114">
        <v>73.5</v>
      </c>
      <c r="K114">
        <v>258</v>
      </c>
      <c r="L114">
        <v>44</v>
      </c>
      <c r="M114">
        <v>5.7</v>
      </c>
    </row>
    <row r="115" spans="1:13" x14ac:dyDescent="0.25">
      <c r="A115" t="s">
        <v>570</v>
      </c>
      <c r="B115">
        <v>15</v>
      </c>
      <c r="C115">
        <v>89.4</v>
      </c>
      <c r="D115">
        <v>13.5</v>
      </c>
      <c r="E115">
        <v>15.5</v>
      </c>
      <c r="F115">
        <v>18</v>
      </c>
      <c r="G115">
        <v>26.5</v>
      </c>
      <c r="H115">
        <v>10.7</v>
      </c>
      <c r="I115">
        <v>36.700000000000003</v>
      </c>
      <c r="J115">
        <v>83</v>
      </c>
      <c r="K115">
        <v>158.1</v>
      </c>
      <c r="L115">
        <v>47.9</v>
      </c>
      <c r="M115">
        <v>4.5999999999999996</v>
      </c>
    </row>
    <row r="116" spans="1:13" x14ac:dyDescent="0.25">
      <c r="A116" t="s">
        <v>573</v>
      </c>
      <c r="B116">
        <v>12.6</v>
      </c>
      <c r="C116">
        <v>48.8</v>
      </c>
      <c r="D116">
        <v>22.5</v>
      </c>
      <c r="E116">
        <v>61.7</v>
      </c>
      <c r="F116">
        <v>41</v>
      </c>
      <c r="G116">
        <v>46.1</v>
      </c>
      <c r="H116">
        <v>38.4</v>
      </c>
      <c r="I116">
        <v>20.100000000000001</v>
      </c>
      <c r="J116">
        <v>81.599999999999994</v>
      </c>
      <c r="K116">
        <v>298.5</v>
      </c>
      <c r="L116">
        <v>226.5</v>
      </c>
      <c r="M116">
        <v>7.6</v>
      </c>
    </row>
    <row r="117" spans="1:13" x14ac:dyDescent="0.25">
      <c r="A117" t="s">
        <v>576</v>
      </c>
      <c r="B117">
        <v>11.8</v>
      </c>
      <c r="C117">
        <v>39.5</v>
      </c>
      <c r="D117">
        <v>18.899999999999999</v>
      </c>
      <c r="E117">
        <v>52.3</v>
      </c>
      <c r="F117">
        <v>44.3</v>
      </c>
      <c r="G117">
        <v>45</v>
      </c>
      <c r="H117">
        <v>23.7</v>
      </c>
      <c r="I117">
        <v>27.4</v>
      </c>
      <c r="J117">
        <v>102.4</v>
      </c>
      <c r="K117">
        <v>287.39999999999998</v>
      </c>
      <c r="L117">
        <v>192.1</v>
      </c>
      <c r="M117">
        <v>8.8000000000000007</v>
      </c>
    </row>
    <row r="118" spans="1:13" x14ac:dyDescent="0.25">
      <c r="A118" t="s">
        <v>580</v>
      </c>
      <c r="B118">
        <v>27.8</v>
      </c>
      <c r="C118">
        <v>35.299999999999997</v>
      </c>
      <c r="D118">
        <v>48.4</v>
      </c>
      <c r="E118">
        <v>82.5</v>
      </c>
      <c r="F118">
        <v>72.099999999999994</v>
      </c>
      <c r="G118">
        <v>8.6</v>
      </c>
      <c r="H118">
        <v>8.5</v>
      </c>
      <c r="I118">
        <v>22.7</v>
      </c>
      <c r="J118">
        <v>1.2</v>
      </c>
      <c r="K118">
        <v>135.1</v>
      </c>
      <c r="L118">
        <v>74.5</v>
      </c>
      <c r="M118">
        <v>14.4</v>
      </c>
    </row>
    <row r="119" spans="1:13" x14ac:dyDescent="0.25">
      <c r="A119" t="s">
        <v>583</v>
      </c>
      <c r="B119">
        <v>31</v>
      </c>
      <c r="C119">
        <v>35.1</v>
      </c>
      <c r="D119">
        <v>48.2</v>
      </c>
      <c r="E119">
        <v>78.599999999999994</v>
      </c>
      <c r="F119">
        <v>83</v>
      </c>
      <c r="G119">
        <v>9.6999999999999993</v>
      </c>
      <c r="H119">
        <v>16.5</v>
      </c>
      <c r="I119">
        <v>20.6</v>
      </c>
      <c r="J119">
        <v>0.3</v>
      </c>
      <c r="K119">
        <v>130.1</v>
      </c>
      <c r="L119">
        <v>69.5</v>
      </c>
      <c r="M119">
        <v>13.4</v>
      </c>
    </row>
    <row r="120" spans="1:13" x14ac:dyDescent="0.25">
      <c r="A120" t="s">
        <v>586</v>
      </c>
      <c r="B120">
        <v>33.200000000000003</v>
      </c>
      <c r="C120">
        <v>98.1</v>
      </c>
      <c r="D120">
        <v>77.099999999999994</v>
      </c>
      <c r="E120">
        <v>121.7</v>
      </c>
      <c r="F120">
        <v>129.6</v>
      </c>
      <c r="G120">
        <v>13</v>
      </c>
      <c r="H120">
        <v>10.5</v>
      </c>
      <c r="I120">
        <v>76.8</v>
      </c>
      <c r="J120">
        <v>12.9</v>
      </c>
      <c r="K120">
        <v>118.4</v>
      </c>
      <c r="L120">
        <v>84.5</v>
      </c>
      <c r="M120">
        <v>9.3000000000000007</v>
      </c>
    </row>
    <row r="121" spans="1:13" x14ac:dyDescent="0.25">
      <c r="A121" t="s">
        <v>589</v>
      </c>
      <c r="B121">
        <v>33.299999999999997</v>
      </c>
      <c r="C121">
        <v>75.400000000000006</v>
      </c>
      <c r="D121">
        <v>63.7</v>
      </c>
      <c r="E121">
        <v>117.5</v>
      </c>
      <c r="F121">
        <v>138.80000000000001</v>
      </c>
      <c r="G121">
        <v>20.399999999999999</v>
      </c>
      <c r="H121">
        <v>7.9</v>
      </c>
      <c r="I121">
        <v>31.7</v>
      </c>
      <c r="J121">
        <v>7.2</v>
      </c>
      <c r="K121">
        <v>168.6</v>
      </c>
      <c r="L121">
        <v>70.8</v>
      </c>
      <c r="M121">
        <v>11.5</v>
      </c>
    </row>
    <row r="122" spans="1:13" x14ac:dyDescent="0.25">
      <c r="A122" t="s">
        <v>592</v>
      </c>
      <c r="B122">
        <v>30.8</v>
      </c>
      <c r="C122">
        <v>80.8</v>
      </c>
      <c r="D122">
        <v>71.2</v>
      </c>
      <c r="E122">
        <v>104.9</v>
      </c>
      <c r="F122">
        <v>95</v>
      </c>
      <c r="G122">
        <v>11.8</v>
      </c>
      <c r="H122">
        <v>7.8</v>
      </c>
      <c r="I122">
        <v>43.5</v>
      </c>
      <c r="J122">
        <v>5.3</v>
      </c>
      <c r="K122">
        <v>107.7</v>
      </c>
      <c r="L122">
        <v>91.7</v>
      </c>
      <c r="M122">
        <v>11.9</v>
      </c>
    </row>
    <row r="123" spans="1:13" x14ac:dyDescent="0.25">
      <c r="A123" t="s">
        <v>595</v>
      </c>
      <c r="B123">
        <v>36.9</v>
      </c>
      <c r="C123">
        <v>97.2</v>
      </c>
      <c r="D123">
        <v>71.7</v>
      </c>
      <c r="E123">
        <v>124.6</v>
      </c>
      <c r="F123">
        <v>159.1</v>
      </c>
      <c r="G123">
        <v>34.5</v>
      </c>
      <c r="H123">
        <v>9.4</v>
      </c>
      <c r="I123">
        <v>52.7</v>
      </c>
      <c r="J123">
        <v>2.4</v>
      </c>
      <c r="K123">
        <v>170.1</v>
      </c>
      <c r="L123">
        <v>74.8</v>
      </c>
      <c r="M123">
        <v>13.9</v>
      </c>
    </row>
    <row r="124" spans="1:13" x14ac:dyDescent="0.25">
      <c r="A124" t="s">
        <v>598</v>
      </c>
      <c r="B124">
        <v>29.4</v>
      </c>
      <c r="C124">
        <v>56.6</v>
      </c>
      <c r="D124">
        <v>55.4</v>
      </c>
      <c r="E124">
        <v>105.1</v>
      </c>
      <c r="F124">
        <v>101.7</v>
      </c>
      <c r="G124">
        <v>13.3</v>
      </c>
      <c r="H124">
        <v>4.4000000000000004</v>
      </c>
      <c r="I124">
        <v>10.7</v>
      </c>
      <c r="J124">
        <v>0.3</v>
      </c>
      <c r="K124">
        <v>130.19999999999999</v>
      </c>
      <c r="L124">
        <v>54.6</v>
      </c>
      <c r="M124">
        <v>12.6</v>
      </c>
    </row>
    <row r="125" spans="1:13" x14ac:dyDescent="0.25">
      <c r="A125" t="s">
        <v>601</v>
      </c>
      <c r="B125">
        <v>45.7</v>
      </c>
      <c r="C125">
        <v>158.80000000000001</v>
      </c>
      <c r="D125">
        <v>113.9</v>
      </c>
      <c r="E125">
        <v>166.6</v>
      </c>
      <c r="F125">
        <v>194.5</v>
      </c>
      <c r="G125">
        <v>66.8</v>
      </c>
      <c r="H125">
        <v>18.399999999999999</v>
      </c>
      <c r="I125">
        <v>117.9</v>
      </c>
      <c r="J125">
        <v>13.6</v>
      </c>
      <c r="K125">
        <v>152.19999999999999</v>
      </c>
      <c r="L125">
        <v>107.5</v>
      </c>
      <c r="M125">
        <v>7.7</v>
      </c>
    </row>
    <row r="126" spans="1:13" x14ac:dyDescent="0.25">
      <c r="A126" t="s">
        <v>605</v>
      </c>
      <c r="B126">
        <v>63.8</v>
      </c>
      <c r="C126">
        <v>106.2</v>
      </c>
      <c r="D126">
        <v>39.6</v>
      </c>
      <c r="E126">
        <v>82.2</v>
      </c>
      <c r="F126">
        <v>152.30000000000001</v>
      </c>
      <c r="G126">
        <v>87.3</v>
      </c>
      <c r="H126">
        <v>54.9</v>
      </c>
      <c r="I126">
        <v>249.8</v>
      </c>
      <c r="J126">
        <v>68.3</v>
      </c>
      <c r="K126">
        <v>201.2</v>
      </c>
      <c r="L126">
        <v>78.8</v>
      </c>
      <c r="M126">
        <v>8.4</v>
      </c>
    </row>
    <row r="127" spans="1:13" x14ac:dyDescent="0.25">
      <c r="A127" t="s">
        <v>608</v>
      </c>
      <c r="B127">
        <v>82.2</v>
      </c>
      <c r="C127">
        <v>131.1</v>
      </c>
      <c r="D127">
        <v>44.5</v>
      </c>
      <c r="E127">
        <v>119.6</v>
      </c>
      <c r="F127">
        <v>154.5</v>
      </c>
      <c r="G127">
        <v>84.8</v>
      </c>
      <c r="H127">
        <v>87.9</v>
      </c>
      <c r="I127">
        <v>201.5</v>
      </c>
      <c r="J127">
        <v>82.9</v>
      </c>
      <c r="K127">
        <v>226.2</v>
      </c>
      <c r="L127">
        <v>89.2</v>
      </c>
      <c r="M127">
        <v>6.1</v>
      </c>
    </row>
    <row r="128" spans="1:13" x14ac:dyDescent="0.25">
      <c r="A128" t="s">
        <v>611</v>
      </c>
      <c r="B128">
        <v>80.8</v>
      </c>
      <c r="C128">
        <v>125.2</v>
      </c>
      <c r="D128">
        <v>66.599999999999994</v>
      </c>
      <c r="E128">
        <v>110.8</v>
      </c>
      <c r="F128">
        <v>135.4</v>
      </c>
      <c r="G128">
        <v>57.9</v>
      </c>
      <c r="H128">
        <v>41.8</v>
      </c>
      <c r="I128">
        <v>112</v>
      </c>
      <c r="J128">
        <v>10.8</v>
      </c>
      <c r="K128">
        <v>246</v>
      </c>
      <c r="L128">
        <v>83.6</v>
      </c>
      <c r="M128">
        <v>6.9</v>
      </c>
    </row>
    <row r="129" spans="1:13" x14ac:dyDescent="0.25">
      <c r="A129" t="s">
        <v>614</v>
      </c>
      <c r="B129">
        <v>64.099999999999994</v>
      </c>
      <c r="C129">
        <v>123.3</v>
      </c>
      <c r="D129">
        <v>42.7</v>
      </c>
      <c r="E129">
        <v>109.4</v>
      </c>
      <c r="F129">
        <v>132</v>
      </c>
      <c r="G129">
        <v>69.099999999999994</v>
      </c>
      <c r="H129">
        <v>91.8</v>
      </c>
      <c r="I129">
        <v>198.4</v>
      </c>
      <c r="J129">
        <v>190.8</v>
      </c>
      <c r="K129">
        <v>231.1</v>
      </c>
      <c r="L129">
        <v>81.3</v>
      </c>
      <c r="M129">
        <v>6.3</v>
      </c>
    </row>
    <row r="130" spans="1:13" x14ac:dyDescent="0.25">
      <c r="A130" t="s">
        <v>617</v>
      </c>
      <c r="B130">
        <v>56.9</v>
      </c>
      <c r="C130">
        <v>108.5</v>
      </c>
      <c r="D130">
        <v>31.4</v>
      </c>
      <c r="E130">
        <v>93.1</v>
      </c>
      <c r="F130">
        <v>141</v>
      </c>
      <c r="G130">
        <v>41</v>
      </c>
      <c r="H130">
        <v>79.599999999999994</v>
      </c>
      <c r="I130">
        <v>142</v>
      </c>
      <c r="J130">
        <v>51.9</v>
      </c>
      <c r="K130">
        <v>222.7</v>
      </c>
      <c r="L130">
        <v>103.3</v>
      </c>
      <c r="M130">
        <v>8.4</v>
      </c>
    </row>
    <row r="131" spans="1:13" x14ac:dyDescent="0.25">
      <c r="A131" t="s">
        <v>620</v>
      </c>
      <c r="B131">
        <v>73.599999999999994</v>
      </c>
      <c r="C131">
        <v>92</v>
      </c>
      <c r="D131">
        <v>45.6</v>
      </c>
      <c r="E131">
        <v>131</v>
      </c>
      <c r="F131">
        <v>89</v>
      </c>
      <c r="G131">
        <v>65.2</v>
      </c>
      <c r="H131">
        <v>92.8</v>
      </c>
      <c r="I131">
        <v>156.30000000000001</v>
      </c>
      <c r="J131">
        <v>57.1</v>
      </c>
      <c r="K131">
        <v>180.8</v>
      </c>
      <c r="L131">
        <v>69.599999999999994</v>
      </c>
      <c r="M131">
        <v>7.9</v>
      </c>
    </row>
    <row r="132" spans="1:13" x14ac:dyDescent="0.25">
      <c r="A132" t="s">
        <v>623</v>
      </c>
      <c r="B132">
        <v>69.5</v>
      </c>
      <c r="C132">
        <v>118.6</v>
      </c>
      <c r="D132">
        <v>44.2</v>
      </c>
      <c r="E132">
        <v>86.8</v>
      </c>
      <c r="F132">
        <v>157.80000000000001</v>
      </c>
      <c r="G132">
        <v>69.900000000000006</v>
      </c>
      <c r="H132">
        <v>40.700000000000003</v>
      </c>
      <c r="I132">
        <v>232</v>
      </c>
      <c r="J132">
        <v>58.8</v>
      </c>
      <c r="K132">
        <v>167.9</v>
      </c>
      <c r="L132">
        <v>85.6</v>
      </c>
      <c r="M132">
        <v>7.6</v>
      </c>
    </row>
    <row r="133" spans="1:13" x14ac:dyDescent="0.25">
      <c r="A133" t="s">
        <v>626</v>
      </c>
      <c r="B133">
        <v>91.4</v>
      </c>
      <c r="C133">
        <v>187.1</v>
      </c>
      <c r="D133">
        <v>81.7</v>
      </c>
      <c r="E133">
        <v>185.7</v>
      </c>
      <c r="F133">
        <v>144.4</v>
      </c>
      <c r="G133">
        <v>56.3</v>
      </c>
      <c r="H133">
        <v>45.1</v>
      </c>
      <c r="I133">
        <v>122.1</v>
      </c>
      <c r="J133">
        <v>17.399999999999999</v>
      </c>
      <c r="K133">
        <v>430.7</v>
      </c>
      <c r="L133">
        <v>200.2</v>
      </c>
      <c r="M133">
        <v>10.3</v>
      </c>
    </row>
    <row r="134" spans="1:13" x14ac:dyDescent="0.25">
      <c r="A134" t="s">
        <v>630</v>
      </c>
      <c r="B134">
        <v>28.4</v>
      </c>
      <c r="C134">
        <v>85</v>
      </c>
      <c r="D134">
        <v>86.2</v>
      </c>
      <c r="E134">
        <v>144.1</v>
      </c>
      <c r="F134">
        <v>124.5</v>
      </c>
      <c r="G134">
        <v>76</v>
      </c>
      <c r="H134">
        <v>23.3</v>
      </c>
      <c r="I134">
        <v>86.9</v>
      </c>
      <c r="J134">
        <v>52.6</v>
      </c>
      <c r="K134">
        <v>148.80000000000001</v>
      </c>
      <c r="L134">
        <v>88.7</v>
      </c>
      <c r="M134">
        <v>10.199999999999999</v>
      </c>
    </row>
    <row r="135" spans="1:13" x14ac:dyDescent="0.25">
      <c r="A135" t="s">
        <v>633</v>
      </c>
      <c r="B135">
        <v>54.3</v>
      </c>
      <c r="C135">
        <v>104.9</v>
      </c>
      <c r="D135">
        <v>123.7</v>
      </c>
      <c r="E135">
        <v>157.30000000000001</v>
      </c>
      <c r="F135">
        <v>149.80000000000001</v>
      </c>
      <c r="G135">
        <v>110.9</v>
      </c>
      <c r="H135">
        <v>10.8</v>
      </c>
      <c r="I135">
        <v>70</v>
      </c>
      <c r="J135">
        <v>57.2</v>
      </c>
      <c r="K135">
        <v>170.7</v>
      </c>
      <c r="L135">
        <v>86.3</v>
      </c>
      <c r="M135">
        <v>10.199999999999999</v>
      </c>
    </row>
    <row r="136" spans="1:13" x14ac:dyDescent="0.25">
      <c r="A136" t="s">
        <v>636</v>
      </c>
      <c r="B136">
        <v>41.2</v>
      </c>
      <c r="C136">
        <v>80</v>
      </c>
      <c r="D136">
        <v>68.099999999999994</v>
      </c>
      <c r="E136">
        <v>114</v>
      </c>
      <c r="F136">
        <v>131.80000000000001</v>
      </c>
      <c r="G136">
        <v>116.3</v>
      </c>
      <c r="H136">
        <v>15.4</v>
      </c>
      <c r="I136">
        <v>66</v>
      </c>
      <c r="J136">
        <v>27.2</v>
      </c>
      <c r="K136">
        <v>131.69999999999999</v>
      </c>
      <c r="L136">
        <v>81.7</v>
      </c>
      <c r="M136">
        <v>7.1</v>
      </c>
    </row>
    <row r="137" spans="1:13" x14ac:dyDescent="0.25">
      <c r="A137" t="s">
        <v>639</v>
      </c>
      <c r="B137">
        <v>33</v>
      </c>
      <c r="C137">
        <v>90.6</v>
      </c>
      <c r="D137">
        <v>79.400000000000006</v>
      </c>
      <c r="E137">
        <v>115</v>
      </c>
      <c r="F137">
        <v>121.4</v>
      </c>
      <c r="G137">
        <v>57.3</v>
      </c>
      <c r="H137">
        <v>16.3</v>
      </c>
      <c r="I137">
        <v>64.5</v>
      </c>
      <c r="J137">
        <v>56.6</v>
      </c>
      <c r="K137">
        <v>122.6</v>
      </c>
      <c r="L137">
        <v>69.400000000000006</v>
      </c>
      <c r="M137">
        <v>15.4</v>
      </c>
    </row>
    <row r="138" spans="1:13" x14ac:dyDescent="0.25">
      <c r="A138" t="s">
        <v>643</v>
      </c>
      <c r="B138">
        <v>197.1</v>
      </c>
      <c r="C138">
        <v>204.1</v>
      </c>
      <c r="D138">
        <v>163.4</v>
      </c>
      <c r="E138">
        <v>276.39999999999998</v>
      </c>
      <c r="F138">
        <v>186.6</v>
      </c>
      <c r="G138">
        <v>103.2</v>
      </c>
      <c r="H138">
        <v>70.599999999999994</v>
      </c>
      <c r="I138">
        <v>80.2</v>
      </c>
      <c r="J138">
        <v>69</v>
      </c>
      <c r="K138">
        <v>219.9</v>
      </c>
      <c r="L138">
        <v>79.8</v>
      </c>
      <c r="M138">
        <v>31.4</v>
      </c>
    </row>
    <row r="139" spans="1:13" x14ac:dyDescent="0.25">
      <c r="A139" t="s">
        <v>646</v>
      </c>
      <c r="B139">
        <v>229.4</v>
      </c>
      <c r="C139">
        <v>295.39999999999998</v>
      </c>
      <c r="D139">
        <v>157.30000000000001</v>
      </c>
      <c r="E139">
        <v>118.2</v>
      </c>
      <c r="F139">
        <v>298</v>
      </c>
      <c r="G139">
        <v>133.80000000000001</v>
      </c>
      <c r="H139">
        <v>61.6</v>
      </c>
      <c r="I139">
        <v>119.1</v>
      </c>
      <c r="J139">
        <v>93.8</v>
      </c>
      <c r="K139">
        <v>157.1</v>
      </c>
      <c r="L139">
        <v>81.099999999999994</v>
      </c>
      <c r="M139">
        <v>61.9</v>
      </c>
    </row>
    <row r="140" spans="1:13" x14ac:dyDescent="0.25">
      <c r="A140" t="s">
        <v>649</v>
      </c>
      <c r="B140">
        <v>160.19999999999999</v>
      </c>
      <c r="C140">
        <v>193.5</v>
      </c>
      <c r="D140">
        <v>289.7</v>
      </c>
      <c r="E140">
        <v>322.3</v>
      </c>
      <c r="F140">
        <v>177.9</v>
      </c>
      <c r="G140">
        <v>91.4</v>
      </c>
      <c r="H140">
        <v>113.2</v>
      </c>
      <c r="I140">
        <v>295.89999999999998</v>
      </c>
      <c r="J140">
        <v>109.5</v>
      </c>
      <c r="K140">
        <v>229.1</v>
      </c>
      <c r="L140">
        <v>124.6</v>
      </c>
      <c r="M140">
        <v>24.7</v>
      </c>
    </row>
    <row r="141" spans="1:13" x14ac:dyDescent="0.25">
      <c r="A141" t="s">
        <v>652</v>
      </c>
      <c r="B141">
        <v>143.1</v>
      </c>
      <c r="C141">
        <v>115.6</v>
      </c>
      <c r="D141">
        <v>152.6</v>
      </c>
      <c r="E141">
        <v>167.3</v>
      </c>
      <c r="F141">
        <v>120.5</v>
      </c>
      <c r="G141">
        <v>61.1</v>
      </c>
      <c r="H141">
        <v>82.8</v>
      </c>
      <c r="I141">
        <v>150.1</v>
      </c>
      <c r="J141">
        <v>41.6</v>
      </c>
      <c r="K141">
        <v>234.6</v>
      </c>
      <c r="L141">
        <v>113.7</v>
      </c>
      <c r="M141">
        <v>13.6</v>
      </c>
    </row>
    <row r="142" spans="1:13" x14ac:dyDescent="0.25">
      <c r="A142" t="s">
        <v>655</v>
      </c>
      <c r="B142">
        <v>47.4</v>
      </c>
      <c r="C142">
        <v>67.900000000000006</v>
      </c>
      <c r="D142">
        <v>81.900000000000006</v>
      </c>
      <c r="E142">
        <v>113.8</v>
      </c>
      <c r="F142">
        <v>114.9</v>
      </c>
      <c r="G142">
        <v>79.8</v>
      </c>
      <c r="H142">
        <v>83.1</v>
      </c>
      <c r="I142">
        <v>112.2</v>
      </c>
      <c r="J142">
        <v>74.3</v>
      </c>
      <c r="K142">
        <v>107.6</v>
      </c>
      <c r="L142">
        <v>68.099999999999994</v>
      </c>
      <c r="M142">
        <v>10.1</v>
      </c>
    </row>
    <row r="143" spans="1:13" x14ac:dyDescent="0.25">
      <c r="A143" t="s">
        <v>659</v>
      </c>
      <c r="B143">
        <v>56</v>
      </c>
      <c r="C143">
        <v>79.099999999999994</v>
      </c>
      <c r="D143">
        <v>27</v>
      </c>
      <c r="E143">
        <v>139.6</v>
      </c>
      <c r="F143">
        <v>112.3</v>
      </c>
      <c r="G143">
        <v>93.3</v>
      </c>
      <c r="H143">
        <v>49.4</v>
      </c>
      <c r="I143">
        <v>77.900000000000006</v>
      </c>
      <c r="J143">
        <v>57.1</v>
      </c>
      <c r="K143">
        <v>240.4</v>
      </c>
      <c r="L143">
        <v>231.6</v>
      </c>
      <c r="M143">
        <v>12.5</v>
      </c>
    </row>
    <row r="144" spans="1:13" x14ac:dyDescent="0.25">
      <c r="A144" t="s">
        <v>663</v>
      </c>
      <c r="B144">
        <v>29.9</v>
      </c>
      <c r="C144">
        <v>44.8</v>
      </c>
      <c r="D144">
        <v>51.8</v>
      </c>
      <c r="E144">
        <v>103.2</v>
      </c>
      <c r="F144">
        <v>59.5</v>
      </c>
      <c r="G144">
        <v>3.9</v>
      </c>
      <c r="H144">
        <v>12.1</v>
      </c>
      <c r="I144">
        <v>6.7</v>
      </c>
      <c r="J144">
        <v>0.7</v>
      </c>
      <c r="K144">
        <v>126.4</v>
      </c>
      <c r="L144">
        <v>58.8</v>
      </c>
      <c r="M144">
        <v>14</v>
      </c>
    </row>
    <row r="145" spans="1:13" x14ac:dyDescent="0.25">
      <c r="A145" t="s">
        <v>666</v>
      </c>
      <c r="B145">
        <v>32</v>
      </c>
      <c r="C145">
        <v>43.3</v>
      </c>
      <c r="D145">
        <v>44.8</v>
      </c>
      <c r="E145">
        <v>74.5</v>
      </c>
      <c r="F145">
        <v>80.099999999999994</v>
      </c>
      <c r="G145">
        <v>4.3</v>
      </c>
      <c r="H145">
        <v>10</v>
      </c>
      <c r="I145">
        <v>11.4</v>
      </c>
      <c r="J145">
        <v>0.2</v>
      </c>
      <c r="K145">
        <v>124.2</v>
      </c>
      <c r="L145">
        <v>66.599999999999994</v>
      </c>
      <c r="M145">
        <v>14.2</v>
      </c>
    </row>
    <row r="146" spans="1:13" x14ac:dyDescent="0.25">
      <c r="A146" t="s">
        <v>669</v>
      </c>
      <c r="B146">
        <v>25.6</v>
      </c>
      <c r="C146">
        <v>46.1</v>
      </c>
      <c r="D146">
        <v>48.3</v>
      </c>
      <c r="E146">
        <v>87</v>
      </c>
      <c r="F146">
        <v>53.9</v>
      </c>
      <c r="G146">
        <v>3.7</v>
      </c>
      <c r="H146">
        <v>14.8</v>
      </c>
      <c r="I146">
        <v>7.7</v>
      </c>
      <c r="J146">
        <v>0.6</v>
      </c>
      <c r="K146">
        <v>117.6</v>
      </c>
      <c r="L146">
        <v>62</v>
      </c>
      <c r="M146">
        <v>16.100000000000001</v>
      </c>
    </row>
    <row r="147" spans="1:13" x14ac:dyDescent="0.25">
      <c r="A147" t="s">
        <v>672</v>
      </c>
      <c r="B147">
        <v>27.2</v>
      </c>
      <c r="C147">
        <v>44</v>
      </c>
      <c r="D147">
        <v>48.5</v>
      </c>
      <c r="E147">
        <v>77.2</v>
      </c>
      <c r="F147">
        <v>53.8</v>
      </c>
      <c r="G147">
        <v>3</v>
      </c>
      <c r="H147">
        <v>21.3</v>
      </c>
      <c r="I147">
        <v>11.6</v>
      </c>
      <c r="J147">
        <v>0.9</v>
      </c>
      <c r="K147">
        <v>132.1</v>
      </c>
      <c r="L147">
        <v>70.3</v>
      </c>
      <c r="M147">
        <v>16.5</v>
      </c>
    </row>
    <row r="148" spans="1:13" x14ac:dyDescent="0.25">
      <c r="A148" t="s">
        <v>676</v>
      </c>
      <c r="B148">
        <v>15.5</v>
      </c>
      <c r="C148">
        <v>41.1</v>
      </c>
      <c r="D148">
        <v>33.299999999999997</v>
      </c>
      <c r="E148">
        <v>55.4</v>
      </c>
      <c r="F148">
        <v>92.1</v>
      </c>
      <c r="G148">
        <v>1.9</v>
      </c>
      <c r="H148">
        <v>7.2</v>
      </c>
      <c r="I148">
        <v>15.5</v>
      </c>
      <c r="J148">
        <v>3.6</v>
      </c>
      <c r="K148">
        <v>178</v>
      </c>
      <c r="L148">
        <v>59</v>
      </c>
      <c r="M148">
        <v>7.3</v>
      </c>
    </row>
    <row r="149" spans="1:13" x14ac:dyDescent="0.25">
      <c r="A149" t="s">
        <v>679</v>
      </c>
      <c r="B149">
        <v>21.7</v>
      </c>
      <c r="C149">
        <v>87.9</v>
      </c>
      <c r="D149">
        <v>41.6</v>
      </c>
      <c r="E149">
        <v>88.1</v>
      </c>
      <c r="F149">
        <v>131.6</v>
      </c>
      <c r="G149">
        <v>2.2999999999999998</v>
      </c>
      <c r="H149">
        <v>9.3000000000000007</v>
      </c>
      <c r="I149">
        <v>43.7</v>
      </c>
      <c r="J149">
        <v>12.8</v>
      </c>
      <c r="K149">
        <v>243</v>
      </c>
      <c r="L149">
        <v>137.9</v>
      </c>
      <c r="M149">
        <v>7.9</v>
      </c>
    </row>
    <row r="150" spans="1:13" x14ac:dyDescent="0.25">
      <c r="A150" t="s">
        <v>682</v>
      </c>
      <c r="B150">
        <v>47.1</v>
      </c>
      <c r="C150">
        <v>49.5</v>
      </c>
      <c r="D150">
        <v>39.4</v>
      </c>
      <c r="E150">
        <v>100.8</v>
      </c>
      <c r="F150">
        <v>70.8</v>
      </c>
      <c r="G150">
        <v>1.2</v>
      </c>
      <c r="H150">
        <v>5.0999999999999996</v>
      </c>
      <c r="I150">
        <v>18.100000000000001</v>
      </c>
      <c r="J150">
        <v>28.6</v>
      </c>
      <c r="K150">
        <v>194.1</v>
      </c>
      <c r="L150">
        <v>82.7</v>
      </c>
      <c r="M150">
        <v>8.3000000000000007</v>
      </c>
    </row>
    <row r="151" spans="1:13" x14ac:dyDescent="0.25">
      <c r="A151" t="s">
        <v>685</v>
      </c>
      <c r="B151">
        <v>28.2</v>
      </c>
      <c r="C151">
        <v>78.8</v>
      </c>
      <c r="D151">
        <v>52.7</v>
      </c>
      <c r="E151">
        <v>106.6</v>
      </c>
      <c r="F151">
        <v>116</v>
      </c>
      <c r="G151">
        <v>17.5</v>
      </c>
      <c r="H151">
        <v>6.8</v>
      </c>
      <c r="I151">
        <v>36.4</v>
      </c>
      <c r="J151">
        <v>65.400000000000006</v>
      </c>
      <c r="K151">
        <v>230.9</v>
      </c>
      <c r="L151">
        <v>80.099999999999994</v>
      </c>
      <c r="M151">
        <v>6</v>
      </c>
    </row>
    <row r="152" spans="1:13" x14ac:dyDescent="0.25">
      <c r="A152" t="s">
        <v>688</v>
      </c>
      <c r="B152">
        <v>25.8</v>
      </c>
      <c r="C152">
        <v>61.4</v>
      </c>
      <c r="D152">
        <v>45.4</v>
      </c>
      <c r="E152">
        <v>85</v>
      </c>
      <c r="F152">
        <v>97.2</v>
      </c>
      <c r="G152">
        <v>38.200000000000003</v>
      </c>
      <c r="H152">
        <v>17.8</v>
      </c>
      <c r="I152">
        <v>15.8</v>
      </c>
      <c r="J152">
        <v>18.8</v>
      </c>
      <c r="K152">
        <v>185.8</v>
      </c>
      <c r="L152">
        <v>101.5</v>
      </c>
      <c r="M152">
        <v>6.6</v>
      </c>
    </row>
    <row r="153" spans="1:13" x14ac:dyDescent="0.25">
      <c r="A153" t="s">
        <v>691</v>
      </c>
      <c r="B153">
        <v>44.9</v>
      </c>
      <c r="C153">
        <v>60.7</v>
      </c>
      <c r="D153">
        <v>66.599999999999994</v>
      </c>
      <c r="E153">
        <v>108.7</v>
      </c>
      <c r="F153">
        <v>137.5</v>
      </c>
      <c r="G153">
        <v>22.3</v>
      </c>
      <c r="H153">
        <v>10.1</v>
      </c>
      <c r="I153">
        <v>31.9</v>
      </c>
      <c r="J153">
        <v>58.4</v>
      </c>
      <c r="K153">
        <v>224.3</v>
      </c>
      <c r="L153">
        <v>75.8</v>
      </c>
      <c r="M153">
        <v>8.6999999999999993</v>
      </c>
    </row>
    <row r="154" spans="1:13" x14ac:dyDescent="0.25">
      <c r="A154" t="s">
        <v>695</v>
      </c>
      <c r="B154">
        <v>35.6</v>
      </c>
      <c r="C154">
        <v>37.9</v>
      </c>
      <c r="D154">
        <v>32.1</v>
      </c>
      <c r="E154">
        <v>82.3</v>
      </c>
      <c r="F154">
        <v>100.6</v>
      </c>
      <c r="G154">
        <v>2.4</v>
      </c>
      <c r="H154">
        <v>8.8000000000000007</v>
      </c>
      <c r="I154">
        <v>7.3</v>
      </c>
      <c r="J154">
        <v>3.3</v>
      </c>
      <c r="K154">
        <v>164.3</v>
      </c>
      <c r="L154">
        <v>72.599999999999994</v>
      </c>
      <c r="M154">
        <v>10.1</v>
      </c>
    </row>
    <row r="155" spans="1:13" x14ac:dyDescent="0.25">
      <c r="A155" t="s">
        <v>698</v>
      </c>
      <c r="B155">
        <v>15.1</v>
      </c>
      <c r="C155">
        <v>38.1</v>
      </c>
      <c r="D155">
        <v>30.1</v>
      </c>
      <c r="E155">
        <v>50</v>
      </c>
      <c r="F155">
        <v>87</v>
      </c>
      <c r="G155">
        <v>3.5</v>
      </c>
      <c r="H155">
        <v>7.4</v>
      </c>
      <c r="I155">
        <v>5.5</v>
      </c>
      <c r="J155">
        <v>10.3</v>
      </c>
      <c r="K155">
        <v>201.1</v>
      </c>
      <c r="L155">
        <v>69.8</v>
      </c>
      <c r="M155">
        <v>11.6</v>
      </c>
    </row>
    <row r="156" spans="1:13" x14ac:dyDescent="0.25">
      <c r="A156" t="s">
        <v>701</v>
      </c>
      <c r="B156">
        <v>26.9</v>
      </c>
      <c r="C156">
        <v>31.7</v>
      </c>
      <c r="D156">
        <v>23.8</v>
      </c>
      <c r="E156">
        <v>55</v>
      </c>
      <c r="F156">
        <v>52.3</v>
      </c>
      <c r="G156">
        <v>5.9</v>
      </c>
      <c r="H156">
        <v>11.4</v>
      </c>
      <c r="I156">
        <v>4.0999999999999996</v>
      </c>
      <c r="J156">
        <v>13.1</v>
      </c>
      <c r="K156">
        <v>137.9</v>
      </c>
      <c r="L156">
        <v>50.5</v>
      </c>
      <c r="M156">
        <v>9.5</v>
      </c>
    </row>
    <row r="157" spans="1:13" x14ac:dyDescent="0.25">
      <c r="A157" t="s">
        <v>704</v>
      </c>
      <c r="B157">
        <v>20.100000000000001</v>
      </c>
      <c r="C157">
        <v>69.2</v>
      </c>
      <c r="D157">
        <v>40</v>
      </c>
      <c r="E157">
        <v>73.3</v>
      </c>
      <c r="F157">
        <v>165.9</v>
      </c>
      <c r="G157">
        <v>2.8</v>
      </c>
      <c r="H157">
        <v>11.2</v>
      </c>
      <c r="I157">
        <v>83.7</v>
      </c>
      <c r="J157">
        <v>26.7</v>
      </c>
      <c r="K157">
        <v>257.39999999999998</v>
      </c>
      <c r="L157">
        <v>97</v>
      </c>
      <c r="M157">
        <v>12</v>
      </c>
    </row>
    <row r="158" spans="1:13" x14ac:dyDescent="0.25">
      <c r="A158" t="s">
        <v>707</v>
      </c>
      <c r="B158">
        <v>24</v>
      </c>
      <c r="C158">
        <v>42.8</v>
      </c>
      <c r="D158">
        <v>26</v>
      </c>
      <c r="E158">
        <v>74.2</v>
      </c>
      <c r="F158">
        <v>71.599999999999994</v>
      </c>
      <c r="G158">
        <v>2.1</v>
      </c>
      <c r="H158">
        <v>9.6999999999999993</v>
      </c>
      <c r="I158">
        <v>16.2</v>
      </c>
      <c r="J158">
        <v>4.7</v>
      </c>
      <c r="K158">
        <v>149</v>
      </c>
      <c r="L158">
        <v>67.599999999999994</v>
      </c>
      <c r="M158">
        <v>7.9</v>
      </c>
    </row>
    <row r="159" spans="1:13" x14ac:dyDescent="0.25">
      <c r="A159" t="s">
        <v>711</v>
      </c>
      <c r="B159">
        <v>86.4</v>
      </c>
      <c r="C159">
        <v>122.8</v>
      </c>
      <c r="D159">
        <v>61.8</v>
      </c>
      <c r="E159">
        <v>192.9</v>
      </c>
      <c r="F159">
        <v>102.2</v>
      </c>
      <c r="G159">
        <v>110.6</v>
      </c>
      <c r="H159">
        <v>134.69999999999999</v>
      </c>
      <c r="I159">
        <v>169.2</v>
      </c>
      <c r="J159">
        <v>125.8</v>
      </c>
      <c r="K159">
        <v>350.4</v>
      </c>
      <c r="L159">
        <v>134.1</v>
      </c>
      <c r="M159">
        <v>7.3</v>
      </c>
    </row>
    <row r="160" spans="1:13" x14ac:dyDescent="0.25">
      <c r="A160" t="s">
        <v>714</v>
      </c>
      <c r="B160">
        <v>110.5</v>
      </c>
      <c r="C160">
        <v>150.19999999999999</v>
      </c>
      <c r="D160">
        <v>127.1</v>
      </c>
      <c r="E160">
        <v>193.4</v>
      </c>
      <c r="F160">
        <v>174.6</v>
      </c>
      <c r="G160">
        <v>62.1</v>
      </c>
      <c r="H160">
        <v>75.599999999999994</v>
      </c>
      <c r="I160">
        <v>133.6</v>
      </c>
      <c r="J160">
        <v>56.6</v>
      </c>
      <c r="K160">
        <v>369.1</v>
      </c>
      <c r="L160">
        <v>121.6</v>
      </c>
      <c r="M160">
        <v>14.2</v>
      </c>
    </row>
    <row r="161" spans="1:13" x14ac:dyDescent="0.25">
      <c r="A161" t="s">
        <v>717</v>
      </c>
      <c r="B161">
        <v>62.6</v>
      </c>
      <c r="C161">
        <v>123</v>
      </c>
      <c r="D161">
        <v>43.2</v>
      </c>
      <c r="E161">
        <v>109.5</v>
      </c>
      <c r="F161">
        <v>126.1</v>
      </c>
      <c r="G161">
        <v>72.599999999999994</v>
      </c>
      <c r="H161">
        <v>153.69999999999999</v>
      </c>
      <c r="I161">
        <v>180.1</v>
      </c>
      <c r="J161">
        <v>88.3</v>
      </c>
      <c r="K161">
        <v>275.89999999999998</v>
      </c>
      <c r="L161">
        <v>94.9</v>
      </c>
      <c r="M161">
        <v>6</v>
      </c>
    </row>
    <row r="162" spans="1:13" x14ac:dyDescent="0.25">
      <c r="A162" t="s">
        <v>720</v>
      </c>
      <c r="B162">
        <v>87.1</v>
      </c>
      <c r="C162">
        <v>144.6</v>
      </c>
      <c r="D162">
        <v>54.1</v>
      </c>
      <c r="E162">
        <v>173.7</v>
      </c>
      <c r="F162">
        <v>159.6</v>
      </c>
      <c r="G162">
        <v>114.1</v>
      </c>
      <c r="H162">
        <v>97.6</v>
      </c>
      <c r="I162">
        <v>114.7</v>
      </c>
      <c r="J162">
        <v>165.3</v>
      </c>
      <c r="K162">
        <v>321.89999999999998</v>
      </c>
      <c r="L162">
        <v>151.69999999999999</v>
      </c>
      <c r="M162">
        <v>4.8</v>
      </c>
    </row>
    <row r="163" spans="1:13" x14ac:dyDescent="0.25">
      <c r="A163" t="s">
        <v>723</v>
      </c>
      <c r="B163">
        <v>154.80000000000001</v>
      </c>
      <c r="C163">
        <v>168.2</v>
      </c>
      <c r="D163">
        <v>150.1</v>
      </c>
      <c r="E163">
        <v>191.7</v>
      </c>
      <c r="F163">
        <v>171.1</v>
      </c>
      <c r="G163">
        <v>53.8</v>
      </c>
      <c r="H163">
        <v>104.2</v>
      </c>
      <c r="I163">
        <v>113.9</v>
      </c>
      <c r="J163">
        <v>61.2</v>
      </c>
      <c r="K163">
        <v>309.5</v>
      </c>
      <c r="L163">
        <v>73.099999999999994</v>
      </c>
      <c r="M163">
        <v>18</v>
      </c>
    </row>
    <row r="164" spans="1:13" x14ac:dyDescent="0.25">
      <c r="A164" t="s">
        <v>727</v>
      </c>
      <c r="B164">
        <v>31.6</v>
      </c>
      <c r="C164">
        <v>28.4</v>
      </c>
      <c r="D164">
        <v>68.900000000000006</v>
      </c>
      <c r="E164">
        <v>51</v>
      </c>
      <c r="F164">
        <v>100</v>
      </c>
      <c r="G164">
        <v>33</v>
      </c>
      <c r="H164">
        <v>7.1</v>
      </c>
      <c r="I164">
        <v>35.700000000000003</v>
      </c>
      <c r="J164">
        <v>42.1</v>
      </c>
      <c r="K164">
        <v>123.9</v>
      </c>
      <c r="L164">
        <v>60.3</v>
      </c>
      <c r="M164">
        <v>7.3</v>
      </c>
    </row>
    <row r="165" spans="1:13" x14ac:dyDescent="0.25">
      <c r="A165" t="s">
        <v>729</v>
      </c>
      <c r="B165">
        <v>28.9</v>
      </c>
      <c r="C165">
        <v>32</v>
      </c>
      <c r="D165">
        <v>57.6</v>
      </c>
      <c r="E165">
        <v>72</v>
      </c>
      <c r="F165">
        <v>82.2</v>
      </c>
      <c r="G165">
        <v>13.7</v>
      </c>
      <c r="H165">
        <v>16.2</v>
      </c>
      <c r="I165">
        <v>34.5</v>
      </c>
      <c r="J165">
        <v>12.8</v>
      </c>
      <c r="K165">
        <v>104.9</v>
      </c>
      <c r="L165">
        <v>71.099999999999994</v>
      </c>
      <c r="M165">
        <v>9.8000000000000007</v>
      </c>
    </row>
    <row r="166" spans="1:13" x14ac:dyDescent="0.25">
      <c r="A166" t="s">
        <v>732</v>
      </c>
      <c r="B166">
        <v>44.9</v>
      </c>
      <c r="C166">
        <v>52.5</v>
      </c>
      <c r="D166">
        <v>75.099999999999994</v>
      </c>
      <c r="E166">
        <v>77</v>
      </c>
      <c r="F166">
        <v>122.6</v>
      </c>
      <c r="G166">
        <v>31.5</v>
      </c>
      <c r="H166">
        <v>6.4</v>
      </c>
      <c r="I166">
        <v>28.7</v>
      </c>
      <c r="J166">
        <v>18.899999999999999</v>
      </c>
      <c r="K166">
        <v>137.4</v>
      </c>
      <c r="L166">
        <v>81.599999999999994</v>
      </c>
      <c r="M166">
        <v>12</v>
      </c>
    </row>
    <row r="167" spans="1:13" x14ac:dyDescent="0.25">
      <c r="A167" t="s">
        <v>736</v>
      </c>
      <c r="B167">
        <v>23.4</v>
      </c>
      <c r="C167">
        <v>37.1</v>
      </c>
      <c r="D167">
        <v>32.200000000000003</v>
      </c>
      <c r="E167">
        <v>61</v>
      </c>
      <c r="F167">
        <v>58.6</v>
      </c>
      <c r="G167">
        <v>5.5</v>
      </c>
      <c r="H167">
        <v>21.7</v>
      </c>
      <c r="I167">
        <v>4.2</v>
      </c>
      <c r="J167">
        <v>2.2000000000000002</v>
      </c>
      <c r="K167">
        <v>109.1</v>
      </c>
      <c r="L167">
        <v>52.1</v>
      </c>
      <c r="M167">
        <v>12.9</v>
      </c>
    </row>
    <row r="168" spans="1:13" x14ac:dyDescent="0.25">
      <c r="A168" t="s">
        <v>739</v>
      </c>
      <c r="B168">
        <v>26.5</v>
      </c>
      <c r="C168">
        <v>44.9</v>
      </c>
      <c r="D168">
        <v>36.9</v>
      </c>
      <c r="E168">
        <v>83.7</v>
      </c>
      <c r="F168">
        <v>66.7</v>
      </c>
      <c r="G168">
        <v>28.1</v>
      </c>
      <c r="H168">
        <v>36.4</v>
      </c>
      <c r="I168">
        <v>18.899999999999999</v>
      </c>
      <c r="J168">
        <v>13.3</v>
      </c>
      <c r="K168">
        <v>135.80000000000001</v>
      </c>
      <c r="L168">
        <v>81.400000000000006</v>
      </c>
      <c r="M168">
        <v>16.3</v>
      </c>
    </row>
    <row r="169" spans="1:13" x14ac:dyDescent="0.25">
      <c r="A169" t="s">
        <v>742</v>
      </c>
      <c r="B169">
        <v>29.9</v>
      </c>
      <c r="C169">
        <v>43.2</v>
      </c>
      <c r="D169">
        <v>54.3</v>
      </c>
      <c r="E169">
        <v>97.7</v>
      </c>
      <c r="F169">
        <v>71.099999999999994</v>
      </c>
      <c r="G169">
        <v>28.2</v>
      </c>
      <c r="H169">
        <v>8.6</v>
      </c>
      <c r="I169">
        <v>51.8</v>
      </c>
      <c r="J169">
        <v>0.9</v>
      </c>
      <c r="K169">
        <v>136</v>
      </c>
      <c r="L169">
        <v>63.5</v>
      </c>
      <c r="M169">
        <v>17.3</v>
      </c>
    </row>
    <row r="170" spans="1:13" x14ac:dyDescent="0.25">
      <c r="A170" t="s">
        <v>745</v>
      </c>
      <c r="B170">
        <v>25.5</v>
      </c>
      <c r="C170">
        <v>32.1</v>
      </c>
      <c r="D170">
        <v>51.6</v>
      </c>
      <c r="E170">
        <v>86.4</v>
      </c>
      <c r="F170">
        <v>67</v>
      </c>
      <c r="G170">
        <v>7.4</v>
      </c>
      <c r="H170">
        <v>12.1</v>
      </c>
      <c r="I170">
        <v>46.6</v>
      </c>
      <c r="J170">
        <v>1.6</v>
      </c>
      <c r="K170">
        <v>141</v>
      </c>
      <c r="L170">
        <v>65.2</v>
      </c>
      <c r="M170">
        <v>16.2</v>
      </c>
    </row>
    <row r="171" spans="1:13" x14ac:dyDescent="0.25">
      <c r="A171" t="s">
        <v>748</v>
      </c>
      <c r="B171">
        <v>33.299999999999997</v>
      </c>
      <c r="C171">
        <v>38</v>
      </c>
      <c r="D171">
        <v>46.3</v>
      </c>
      <c r="E171">
        <v>64.8</v>
      </c>
      <c r="F171">
        <v>61.8</v>
      </c>
      <c r="G171">
        <v>3.9</v>
      </c>
      <c r="H171">
        <v>19.3</v>
      </c>
      <c r="I171">
        <v>34.9</v>
      </c>
      <c r="J171">
        <v>3</v>
      </c>
      <c r="K171">
        <v>129.80000000000001</v>
      </c>
      <c r="L171">
        <v>68</v>
      </c>
      <c r="M171">
        <v>17.2</v>
      </c>
    </row>
    <row r="172" spans="1:13" x14ac:dyDescent="0.25">
      <c r="A172" t="s">
        <v>751</v>
      </c>
      <c r="B172">
        <v>22.9</v>
      </c>
      <c r="C172">
        <v>22.3</v>
      </c>
      <c r="D172">
        <v>32.200000000000003</v>
      </c>
      <c r="E172">
        <v>78.599999999999994</v>
      </c>
      <c r="F172">
        <v>60</v>
      </c>
      <c r="G172">
        <v>12.8</v>
      </c>
      <c r="H172">
        <v>23</v>
      </c>
      <c r="I172">
        <v>33.700000000000003</v>
      </c>
      <c r="J172">
        <v>19.3</v>
      </c>
      <c r="K172">
        <v>98.8</v>
      </c>
      <c r="L172">
        <v>44.2</v>
      </c>
      <c r="M172">
        <v>13.1</v>
      </c>
    </row>
    <row r="173" spans="1:13" x14ac:dyDescent="0.25">
      <c r="A173" t="s">
        <v>754</v>
      </c>
      <c r="B173">
        <v>27.1</v>
      </c>
      <c r="C173">
        <v>45.1</v>
      </c>
      <c r="D173">
        <v>41</v>
      </c>
      <c r="E173">
        <v>85.1</v>
      </c>
      <c r="F173">
        <v>38.299999999999997</v>
      </c>
      <c r="G173">
        <v>9.8000000000000007</v>
      </c>
      <c r="H173">
        <v>33.5</v>
      </c>
      <c r="I173">
        <v>6.9</v>
      </c>
      <c r="J173">
        <v>3.3</v>
      </c>
      <c r="K173">
        <v>114.5</v>
      </c>
      <c r="L173">
        <v>62</v>
      </c>
      <c r="M173">
        <v>11.7</v>
      </c>
    </row>
    <row r="174" spans="1:13" x14ac:dyDescent="0.25">
      <c r="A174" t="s">
        <v>757</v>
      </c>
      <c r="B174">
        <v>21.3</v>
      </c>
      <c r="C174">
        <v>27.3</v>
      </c>
      <c r="D174">
        <v>43.9</v>
      </c>
      <c r="E174">
        <v>91.4</v>
      </c>
      <c r="F174">
        <v>48.3</v>
      </c>
      <c r="G174">
        <v>16.5</v>
      </c>
      <c r="H174">
        <v>27.8</v>
      </c>
      <c r="I174">
        <v>23</v>
      </c>
      <c r="J174">
        <v>6.9</v>
      </c>
      <c r="K174">
        <v>108.8</v>
      </c>
      <c r="L174">
        <v>55.4</v>
      </c>
      <c r="M174">
        <v>14.4</v>
      </c>
    </row>
    <row r="175" spans="1:13" x14ac:dyDescent="0.25">
      <c r="A175" t="s">
        <v>760</v>
      </c>
      <c r="B175">
        <v>26.7</v>
      </c>
      <c r="C175">
        <v>39</v>
      </c>
      <c r="D175">
        <v>31.2</v>
      </c>
      <c r="E175">
        <v>58.9</v>
      </c>
      <c r="F175">
        <v>48.9</v>
      </c>
      <c r="G175">
        <v>6.1</v>
      </c>
      <c r="H175">
        <v>14.5</v>
      </c>
      <c r="I175">
        <v>6.9</v>
      </c>
      <c r="J175">
        <v>1.5</v>
      </c>
      <c r="K175">
        <v>102.7</v>
      </c>
      <c r="L175">
        <v>44.9</v>
      </c>
      <c r="M175">
        <v>10.5</v>
      </c>
    </row>
    <row r="176" spans="1:13" x14ac:dyDescent="0.25">
      <c r="A176" t="s">
        <v>763</v>
      </c>
      <c r="B176">
        <v>18.100000000000001</v>
      </c>
      <c r="C176">
        <v>34.200000000000003</v>
      </c>
      <c r="D176">
        <v>26.5</v>
      </c>
      <c r="E176">
        <v>66.900000000000006</v>
      </c>
      <c r="F176">
        <v>42</v>
      </c>
      <c r="G176">
        <v>5.3</v>
      </c>
      <c r="H176">
        <v>30.2</v>
      </c>
      <c r="I176">
        <v>7.5</v>
      </c>
      <c r="J176">
        <v>32.5</v>
      </c>
      <c r="K176">
        <v>91.5</v>
      </c>
      <c r="L176">
        <v>53.6</v>
      </c>
      <c r="M176">
        <v>13.5</v>
      </c>
    </row>
    <row r="177" spans="1:13" x14ac:dyDescent="0.25">
      <c r="A177" t="s">
        <v>766</v>
      </c>
      <c r="B177">
        <v>22.5</v>
      </c>
      <c r="C177">
        <v>35.4</v>
      </c>
      <c r="D177">
        <v>36.700000000000003</v>
      </c>
      <c r="E177">
        <v>79.3</v>
      </c>
      <c r="F177">
        <v>60.8</v>
      </c>
      <c r="G177">
        <v>10.4</v>
      </c>
      <c r="H177">
        <v>15.6</v>
      </c>
      <c r="I177">
        <v>51.7</v>
      </c>
      <c r="J177">
        <v>3.3</v>
      </c>
      <c r="K177">
        <v>134.4</v>
      </c>
      <c r="L177">
        <v>61.9</v>
      </c>
      <c r="M177">
        <v>16.5</v>
      </c>
    </row>
    <row r="178" spans="1:13" x14ac:dyDescent="0.25">
      <c r="A178" t="s">
        <v>769</v>
      </c>
      <c r="B178">
        <v>32.4</v>
      </c>
      <c r="C178">
        <v>133.80000000000001</v>
      </c>
      <c r="D178">
        <v>50.7</v>
      </c>
      <c r="E178">
        <v>142.9</v>
      </c>
      <c r="F178">
        <v>163.19999999999999</v>
      </c>
      <c r="G178">
        <v>76</v>
      </c>
      <c r="H178">
        <v>80.2</v>
      </c>
      <c r="I178">
        <v>70</v>
      </c>
      <c r="J178">
        <v>33.4</v>
      </c>
      <c r="K178">
        <v>309</v>
      </c>
      <c r="L178">
        <v>188.1</v>
      </c>
      <c r="M178">
        <v>8.3000000000000007</v>
      </c>
    </row>
    <row r="179" spans="1:13" x14ac:dyDescent="0.25">
      <c r="A179" t="s">
        <v>772</v>
      </c>
      <c r="B179">
        <v>40.200000000000003</v>
      </c>
      <c r="C179">
        <v>98</v>
      </c>
      <c r="D179">
        <v>44.3</v>
      </c>
      <c r="E179">
        <v>80.2</v>
      </c>
      <c r="F179">
        <v>75</v>
      </c>
      <c r="G179">
        <v>37.299999999999997</v>
      </c>
      <c r="H179">
        <v>53.8</v>
      </c>
      <c r="I179">
        <v>59.7</v>
      </c>
      <c r="J179">
        <v>53.6</v>
      </c>
      <c r="K179">
        <v>241.7</v>
      </c>
      <c r="L179">
        <v>232.4</v>
      </c>
      <c r="M179">
        <v>10.7</v>
      </c>
    </row>
    <row r="180" spans="1:13" x14ac:dyDescent="0.25">
      <c r="A180" t="s">
        <v>775</v>
      </c>
      <c r="B180">
        <v>32.799999999999997</v>
      </c>
      <c r="C180">
        <v>108.2</v>
      </c>
      <c r="D180">
        <v>65.400000000000006</v>
      </c>
      <c r="E180">
        <v>95.7</v>
      </c>
      <c r="F180">
        <v>104.5</v>
      </c>
      <c r="G180">
        <v>45.2</v>
      </c>
      <c r="H180">
        <v>79.7</v>
      </c>
      <c r="I180">
        <v>72.8</v>
      </c>
      <c r="J180">
        <v>10.199999999999999</v>
      </c>
      <c r="K180">
        <v>270.7</v>
      </c>
      <c r="L180">
        <v>161.9</v>
      </c>
      <c r="M180">
        <v>9.6999999999999993</v>
      </c>
    </row>
    <row r="181" spans="1:13" x14ac:dyDescent="0.25">
      <c r="A181" t="s">
        <v>778</v>
      </c>
      <c r="B181">
        <v>35.9</v>
      </c>
      <c r="C181">
        <v>95.3</v>
      </c>
      <c r="D181">
        <v>64</v>
      </c>
      <c r="E181">
        <v>100.2</v>
      </c>
      <c r="F181">
        <v>80.599999999999994</v>
      </c>
      <c r="G181">
        <v>22.7</v>
      </c>
      <c r="H181">
        <v>39.6</v>
      </c>
      <c r="I181">
        <v>49.8</v>
      </c>
      <c r="J181">
        <v>5.7</v>
      </c>
      <c r="K181">
        <v>200.4</v>
      </c>
      <c r="L181">
        <v>168.6</v>
      </c>
      <c r="M181">
        <v>9.6999999999999993</v>
      </c>
    </row>
    <row r="182" spans="1:13" x14ac:dyDescent="0.25">
      <c r="A182" t="s">
        <v>782</v>
      </c>
      <c r="B182">
        <v>67.8</v>
      </c>
      <c r="C182">
        <v>138.30000000000001</v>
      </c>
      <c r="D182">
        <v>189.2</v>
      </c>
      <c r="E182">
        <v>176.3</v>
      </c>
      <c r="F182">
        <v>201.9</v>
      </c>
      <c r="G182">
        <v>137.19999999999999</v>
      </c>
      <c r="H182">
        <v>40.299999999999997</v>
      </c>
      <c r="I182">
        <v>209.2</v>
      </c>
      <c r="J182">
        <v>78.8</v>
      </c>
      <c r="K182">
        <v>258.89999999999998</v>
      </c>
      <c r="L182">
        <v>132.30000000000001</v>
      </c>
      <c r="M182">
        <v>25.7</v>
      </c>
    </row>
    <row r="183" spans="1:13" x14ac:dyDescent="0.25">
      <c r="A183" t="s">
        <v>785</v>
      </c>
      <c r="B183">
        <v>95.9</v>
      </c>
      <c r="C183">
        <v>120</v>
      </c>
      <c r="D183">
        <v>105.7</v>
      </c>
      <c r="E183">
        <v>119.5</v>
      </c>
      <c r="F183">
        <v>147.4</v>
      </c>
      <c r="G183">
        <v>74.8</v>
      </c>
      <c r="H183">
        <v>30.1</v>
      </c>
      <c r="I183">
        <v>136.80000000000001</v>
      </c>
      <c r="J183">
        <v>36.299999999999997</v>
      </c>
      <c r="K183">
        <v>238.7</v>
      </c>
      <c r="L183">
        <v>75.7</v>
      </c>
      <c r="M183">
        <v>8.5</v>
      </c>
    </row>
    <row r="184" spans="1:13" x14ac:dyDescent="0.25">
      <c r="A184" t="s">
        <v>788</v>
      </c>
      <c r="B184">
        <v>56.1</v>
      </c>
      <c r="C184">
        <v>89.9</v>
      </c>
      <c r="D184">
        <v>86</v>
      </c>
      <c r="E184">
        <v>106.6</v>
      </c>
      <c r="F184">
        <v>136.30000000000001</v>
      </c>
      <c r="G184">
        <v>98.6</v>
      </c>
      <c r="H184">
        <v>16.8</v>
      </c>
      <c r="I184">
        <v>98.2</v>
      </c>
      <c r="J184">
        <v>38.799999999999997</v>
      </c>
      <c r="K184">
        <v>191.3</v>
      </c>
      <c r="L184">
        <v>96.7</v>
      </c>
      <c r="M184">
        <v>10.4</v>
      </c>
    </row>
    <row r="185" spans="1:13" x14ac:dyDescent="0.25">
      <c r="A185" t="s">
        <v>791</v>
      </c>
      <c r="B185">
        <v>84.6</v>
      </c>
      <c r="C185">
        <v>108</v>
      </c>
      <c r="D185">
        <v>71</v>
      </c>
      <c r="E185">
        <v>103.8</v>
      </c>
      <c r="F185">
        <v>123</v>
      </c>
      <c r="G185">
        <v>32.799999999999997</v>
      </c>
      <c r="H185">
        <v>47</v>
      </c>
      <c r="I185">
        <v>111.2</v>
      </c>
      <c r="J185">
        <v>25.9</v>
      </c>
      <c r="K185">
        <v>167.9</v>
      </c>
      <c r="L185">
        <v>82.7</v>
      </c>
      <c r="M185">
        <v>8.6</v>
      </c>
    </row>
    <row r="186" spans="1:13" x14ac:dyDescent="0.25">
      <c r="A186" t="s">
        <v>794</v>
      </c>
      <c r="B186">
        <v>84.8</v>
      </c>
      <c r="C186">
        <v>89.8</v>
      </c>
      <c r="D186">
        <v>65.099999999999994</v>
      </c>
      <c r="E186">
        <v>99.5</v>
      </c>
      <c r="F186">
        <v>78.599999999999994</v>
      </c>
      <c r="G186">
        <v>86.4</v>
      </c>
      <c r="H186">
        <v>28.3</v>
      </c>
      <c r="I186">
        <v>47.3</v>
      </c>
      <c r="J186">
        <v>24.7</v>
      </c>
      <c r="K186">
        <v>184.7</v>
      </c>
      <c r="L186">
        <v>100.7</v>
      </c>
      <c r="M186">
        <v>8.6999999999999993</v>
      </c>
    </row>
    <row r="187" spans="1:13" x14ac:dyDescent="0.25">
      <c r="A187" t="s">
        <v>797</v>
      </c>
      <c r="B187">
        <v>75.5</v>
      </c>
      <c r="C187">
        <v>97.2</v>
      </c>
      <c r="D187">
        <v>85</v>
      </c>
      <c r="E187">
        <v>98.5</v>
      </c>
      <c r="F187">
        <v>111.9</v>
      </c>
      <c r="G187">
        <v>35.4</v>
      </c>
      <c r="H187">
        <v>29.6</v>
      </c>
      <c r="I187">
        <v>62.4</v>
      </c>
      <c r="J187">
        <v>50.8</v>
      </c>
      <c r="K187">
        <v>241.4</v>
      </c>
      <c r="L187">
        <v>108.7</v>
      </c>
      <c r="M187">
        <v>6.1</v>
      </c>
    </row>
    <row r="188" spans="1:13" x14ac:dyDescent="0.25">
      <c r="A188" t="s">
        <v>801</v>
      </c>
      <c r="B188">
        <v>13.5</v>
      </c>
      <c r="C188">
        <v>94.2</v>
      </c>
      <c r="D188">
        <v>28.3</v>
      </c>
      <c r="E188">
        <v>67.3</v>
      </c>
      <c r="F188">
        <v>40.1</v>
      </c>
      <c r="G188">
        <v>6.9</v>
      </c>
      <c r="H188">
        <v>4.7</v>
      </c>
      <c r="I188">
        <v>94.6</v>
      </c>
      <c r="J188">
        <v>87.3</v>
      </c>
      <c r="K188">
        <v>336.5</v>
      </c>
      <c r="L188">
        <v>67.099999999999994</v>
      </c>
      <c r="M188">
        <v>7.9</v>
      </c>
    </row>
    <row r="189" spans="1:13" x14ac:dyDescent="0.25">
      <c r="A189" t="s">
        <v>804</v>
      </c>
      <c r="B189">
        <v>18.100000000000001</v>
      </c>
      <c r="C189">
        <v>83.1</v>
      </c>
      <c r="D189">
        <v>22.4</v>
      </c>
      <c r="E189">
        <v>45.6</v>
      </c>
      <c r="F189">
        <v>3</v>
      </c>
      <c r="G189">
        <v>9.3000000000000007</v>
      </c>
      <c r="H189">
        <v>2</v>
      </c>
      <c r="I189">
        <v>77.5</v>
      </c>
      <c r="J189">
        <v>44.1</v>
      </c>
      <c r="K189">
        <v>386.5</v>
      </c>
      <c r="L189">
        <v>66</v>
      </c>
      <c r="M189">
        <v>5.2</v>
      </c>
    </row>
    <row r="190" spans="1:13" x14ac:dyDescent="0.25">
      <c r="A190" t="s">
        <v>807</v>
      </c>
      <c r="B190">
        <v>17.899999999999999</v>
      </c>
      <c r="C190">
        <v>102.3</v>
      </c>
      <c r="D190">
        <v>40.799999999999997</v>
      </c>
      <c r="E190">
        <v>45.5</v>
      </c>
      <c r="F190">
        <v>9.3000000000000007</v>
      </c>
      <c r="G190">
        <v>13.6</v>
      </c>
      <c r="H190">
        <v>5.6</v>
      </c>
      <c r="I190">
        <v>120.6</v>
      </c>
      <c r="J190">
        <v>74.099999999999994</v>
      </c>
      <c r="K190">
        <v>200</v>
      </c>
      <c r="L190">
        <v>42.2</v>
      </c>
      <c r="M190">
        <v>5.8</v>
      </c>
    </row>
    <row r="191" spans="1:13" x14ac:dyDescent="0.25">
      <c r="A191" t="s">
        <v>811</v>
      </c>
      <c r="B191">
        <v>39.4</v>
      </c>
      <c r="C191">
        <v>36.4</v>
      </c>
      <c r="D191">
        <v>32</v>
      </c>
      <c r="E191">
        <v>67.5</v>
      </c>
      <c r="F191">
        <v>60</v>
      </c>
      <c r="G191">
        <v>11.2</v>
      </c>
      <c r="H191">
        <v>26.4</v>
      </c>
      <c r="I191">
        <v>1.5</v>
      </c>
      <c r="J191">
        <v>20.3</v>
      </c>
      <c r="K191">
        <v>166.9</v>
      </c>
      <c r="L191">
        <v>63.5</v>
      </c>
      <c r="M191">
        <v>12.3</v>
      </c>
    </row>
    <row r="192" spans="1:13" x14ac:dyDescent="0.25">
      <c r="A192" t="s">
        <v>814</v>
      </c>
      <c r="B192">
        <v>26.2</v>
      </c>
      <c r="C192">
        <v>46.6</v>
      </c>
      <c r="D192">
        <v>33.200000000000003</v>
      </c>
      <c r="E192">
        <v>64.3</v>
      </c>
      <c r="F192">
        <v>48</v>
      </c>
      <c r="G192">
        <v>12</v>
      </c>
      <c r="H192">
        <v>11</v>
      </c>
      <c r="I192">
        <v>8.6</v>
      </c>
      <c r="J192">
        <v>7.7</v>
      </c>
      <c r="K192">
        <v>161.30000000000001</v>
      </c>
      <c r="L192">
        <v>71.099999999999994</v>
      </c>
      <c r="M192">
        <v>11.4</v>
      </c>
    </row>
    <row r="193" spans="1:13" x14ac:dyDescent="0.25">
      <c r="A193" t="s">
        <v>817</v>
      </c>
      <c r="B193">
        <v>114.1</v>
      </c>
      <c r="C193">
        <v>43</v>
      </c>
      <c r="D193">
        <v>37.799999999999997</v>
      </c>
      <c r="E193">
        <v>79.099999999999994</v>
      </c>
      <c r="F193">
        <v>62.8</v>
      </c>
      <c r="G193">
        <v>16.3</v>
      </c>
      <c r="H193">
        <v>29.6</v>
      </c>
      <c r="I193">
        <v>6.9</v>
      </c>
      <c r="J193">
        <v>2.2000000000000002</v>
      </c>
      <c r="K193">
        <v>231.1</v>
      </c>
      <c r="L193">
        <v>80.7</v>
      </c>
      <c r="M193">
        <v>12.4</v>
      </c>
    </row>
    <row r="194" spans="1:13" x14ac:dyDescent="0.25">
      <c r="A194" t="s">
        <v>821</v>
      </c>
      <c r="B194">
        <v>26.1</v>
      </c>
      <c r="C194">
        <v>28.1</v>
      </c>
      <c r="D194">
        <v>55</v>
      </c>
      <c r="E194">
        <v>88.1</v>
      </c>
      <c r="F194">
        <v>41.5</v>
      </c>
      <c r="G194">
        <v>14.6</v>
      </c>
      <c r="H194">
        <v>13.4</v>
      </c>
      <c r="I194">
        <v>3.8</v>
      </c>
      <c r="J194">
        <v>4.8</v>
      </c>
      <c r="K194">
        <v>123.9</v>
      </c>
      <c r="L194">
        <v>51.9</v>
      </c>
      <c r="M194">
        <v>12.8</v>
      </c>
    </row>
    <row r="195" spans="1:13" x14ac:dyDescent="0.25">
      <c r="A195" t="s">
        <v>824</v>
      </c>
      <c r="B195">
        <v>30.1</v>
      </c>
      <c r="C195">
        <v>34.5</v>
      </c>
      <c r="D195">
        <v>70.3</v>
      </c>
      <c r="E195">
        <v>79.599999999999994</v>
      </c>
      <c r="F195">
        <v>82.1</v>
      </c>
      <c r="G195">
        <v>21.6</v>
      </c>
      <c r="H195">
        <v>16.899999999999999</v>
      </c>
      <c r="I195">
        <v>19</v>
      </c>
      <c r="J195">
        <v>14.9</v>
      </c>
      <c r="K195">
        <v>103.5</v>
      </c>
      <c r="L195">
        <v>65.8</v>
      </c>
      <c r="M195">
        <v>13.5</v>
      </c>
    </row>
    <row r="196" spans="1:13" x14ac:dyDescent="0.25">
      <c r="A196" t="s">
        <v>827</v>
      </c>
      <c r="B196">
        <v>26.7</v>
      </c>
      <c r="C196">
        <v>34.6</v>
      </c>
      <c r="D196">
        <v>59.5</v>
      </c>
      <c r="E196">
        <v>86.1</v>
      </c>
      <c r="F196">
        <v>45.9</v>
      </c>
      <c r="G196">
        <v>8.4</v>
      </c>
      <c r="H196">
        <v>10</v>
      </c>
      <c r="I196">
        <v>7.1</v>
      </c>
      <c r="J196">
        <v>6</v>
      </c>
      <c r="K196">
        <v>108.7</v>
      </c>
      <c r="L196">
        <v>62.1</v>
      </c>
      <c r="M196">
        <v>12.5</v>
      </c>
    </row>
    <row r="197" spans="1:13" x14ac:dyDescent="0.25">
      <c r="A197" t="s">
        <v>831</v>
      </c>
      <c r="B197">
        <v>197</v>
      </c>
      <c r="C197">
        <v>351.4</v>
      </c>
      <c r="D197">
        <v>191.4</v>
      </c>
      <c r="E197">
        <v>107.6</v>
      </c>
      <c r="F197">
        <v>255.9</v>
      </c>
      <c r="G197">
        <v>104.7</v>
      </c>
      <c r="H197">
        <v>93</v>
      </c>
      <c r="I197">
        <v>125.9</v>
      </c>
      <c r="J197">
        <v>93.1</v>
      </c>
      <c r="K197">
        <v>192</v>
      </c>
      <c r="L197">
        <v>86.7</v>
      </c>
      <c r="M197">
        <v>83.8</v>
      </c>
    </row>
    <row r="198" spans="1:13" x14ac:dyDescent="0.25">
      <c r="A198" t="s">
        <v>834</v>
      </c>
      <c r="B198">
        <v>133.1</v>
      </c>
      <c r="C198">
        <v>206.1</v>
      </c>
      <c r="D198">
        <v>123.9</v>
      </c>
      <c r="E198">
        <v>92.4</v>
      </c>
      <c r="F198">
        <v>188.9</v>
      </c>
      <c r="G198">
        <v>82.7</v>
      </c>
      <c r="H198">
        <v>141.69999999999999</v>
      </c>
      <c r="I198">
        <v>31.9</v>
      </c>
      <c r="J198">
        <v>47.9</v>
      </c>
      <c r="K198">
        <v>116.5</v>
      </c>
      <c r="L198">
        <v>51.9</v>
      </c>
      <c r="M198">
        <v>44.8</v>
      </c>
    </row>
    <row r="199" spans="1:13" x14ac:dyDescent="0.25">
      <c r="A199" t="s">
        <v>837</v>
      </c>
      <c r="B199">
        <v>123</v>
      </c>
      <c r="C199">
        <v>192.3</v>
      </c>
      <c r="D199">
        <v>112.7</v>
      </c>
      <c r="E199">
        <v>160.30000000000001</v>
      </c>
      <c r="F199">
        <v>155.4</v>
      </c>
      <c r="G199">
        <v>83.9</v>
      </c>
      <c r="H199">
        <v>58.7</v>
      </c>
      <c r="I199">
        <v>96.8</v>
      </c>
      <c r="J199">
        <v>67.8</v>
      </c>
      <c r="K199">
        <v>116.1</v>
      </c>
      <c r="L199">
        <v>43</v>
      </c>
      <c r="M199">
        <v>37.1</v>
      </c>
    </row>
    <row r="200" spans="1:13" x14ac:dyDescent="0.25">
      <c r="A200" t="s">
        <v>841</v>
      </c>
      <c r="B200">
        <v>86.3</v>
      </c>
      <c r="C200">
        <v>106.4</v>
      </c>
      <c r="D200">
        <v>100</v>
      </c>
      <c r="E200">
        <v>85.5</v>
      </c>
      <c r="F200">
        <v>27.8</v>
      </c>
      <c r="G200">
        <v>98.2</v>
      </c>
      <c r="H200">
        <v>41.4</v>
      </c>
      <c r="I200">
        <v>75.2</v>
      </c>
      <c r="J200">
        <v>70.400000000000006</v>
      </c>
      <c r="K200">
        <v>150.30000000000001</v>
      </c>
      <c r="L200">
        <v>228.4</v>
      </c>
      <c r="M200">
        <v>2.8</v>
      </c>
    </row>
    <row r="201" spans="1:13" x14ac:dyDescent="0.25">
      <c r="A201" t="s">
        <v>844</v>
      </c>
      <c r="B201">
        <v>81.099999999999994</v>
      </c>
      <c r="C201">
        <v>101.6</v>
      </c>
      <c r="D201">
        <v>83.9</v>
      </c>
      <c r="E201">
        <v>113.9</v>
      </c>
      <c r="F201">
        <v>78.7</v>
      </c>
      <c r="G201">
        <v>80.400000000000006</v>
      </c>
      <c r="H201">
        <v>29.7</v>
      </c>
      <c r="I201">
        <v>41.5</v>
      </c>
      <c r="J201">
        <v>28.7</v>
      </c>
      <c r="K201">
        <v>178.3</v>
      </c>
      <c r="L201">
        <v>129.80000000000001</v>
      </c>
      <c r="M201">
        <v>5.0999999999999996</v>
      </c>
    </row>
    <row r="202" spans="1:13" x14ac:dyDescent="0.25">
      <c r="A202" t="s">
        <v>847</v>
      </c>
      <c r="B202">
        <v>72.7</v>
      </c>
      <c r="C202">
        <v>85.5</v>
      </c>
      <c r="D202">
        <v>86.1</v>
      </c>
      <c r="E202">
        <v>91.2</v>
      </c>
      <c r="F202">
        <v>44.9</v>
      </c>
      <c r="G202">
        <v>70.5</v>
      </c>
      <c r="H202">
        <v>37.6</v>
      </c>
      <c r="I202">
        <v>77.5</v>
      </c>
      <c r="J202">
        <v>39.4</v>
      </c>
      <c r="K202">
        <v>154.6</v>
      </c>
      <c r="L202">
        <v>156.19999999999999</v>
      </c>
      <c r="M202">
        <v>3.2</v>
      </c>
    </row>
    <row r="203" spans="1:13" x14ac:dyDescent="0.25">
      <c r="A203" t="s">
        <v>850</v>
      </c>
      <c r="B203">
        <v>70.400000000000006</v>
      </c>
      <c r="C203">
        <v>89</v>
      </c>
      <c r="D203">
        <v>89</v>
      </c>
      <c r="E203">
        <v>77.400000000000006</v>
      </c>
      <c r="F203">
        <v>44.2</v>
      </c>
      <c r="G203">
        <v>61.4</v>
      </c>
      <c r="H203">
        <v>24.6</v>
      </c>
      <c r="I203">
        <v>35.1</v>
      </c>
      <c r="J203">
        <v>31.3</v>
      </c>
      <c r="K203">
        <v>174.5</v>
      </c>
      <c r="L203">
        <v>158.19999999999999</v>
      </c>
      <c r="M203">
        <v>3.8</v>
      </c>
    </row>
    <row r="204" spans="1:13" x14ac:dyDescent="0.25">
      <c r="A204" t="s">
        <v>853</v>
      </c>
      <c r="B204">
        <v>99.7</v>
      </c>
      <c r="C204">
        <v>109.2</v>
      </c>
      <c r="D204">
        <v>107.7</v>
      </c>
      <c r="E204">
        <v>132.80000000000001</v>
      </c>
      <c r="F204">
        <v>136.9</v>
      </c>
      <c r="G204">
        <v>63.1</v>
      </c>
      <c r="H204">
        <v>22.1</v>
      </c>
      <c r="I204">
        <v>39.799999999999997</v>
      </c>
      <c r="J204">
        <v>21.6</v>
      </c>
      <c r="K204">
        <v>210.6</v>
      </c>
      <c r="L204">
        <v>139.30000000000001</v>
      </c>
      <c r="M204">
        <v>5.8</v>
      </c>
    </row>
    <row r="205" spans="1:13" x14ac:dyDescent="0.25">
      <c r="A205" t="s">
        <v>856</v>
      </c>
      <c r="B205">
        <v>67.3</v>
      </c>
      <c r="C205">
        <v>106.8</v>
      </c>
      <c r="D205">
        <v>85.4</v>
      </c>
      <c r="E205">
        <v>101.9</v>
      </c>
      <c r="F205">
        <v>76</v>
      </c>
      <c r="G205">
        <v>89.5</v>
      </c>
      <c r="H205">
        <v>28.5</v>
      </c>
      <c r="I205">
        <v>40.1</v>
      </c>
      <c r="J205">
        <v>58.3</v>
      </c>
      <c r="K205">
        <v>157</v>
      </c>
      <c r="L205">
        <v>159</v>
      </c>
      <c r="M205">
        <v>2.4</v>
      </c>
    </row>
    <row r="206" spans="1:13" x14ac:dyDescent="0.25">
      <c r="A206" t="s">
        <v>860</v>
      </c>
      <c r="B206">
        <v>73.8</v>
      </c>
      <c r="C206">
        <v>91.1</v>
      </c>
      <c r="D206">
        <v>74.599999999999994</v>
      </c>
      <c r="E206">
        <v>77.099999999999994</v>
      </c>
      <c r="F206">
        <v>52.4</v>
      </c>
      <c r="G206">
        <v>43.6</v>
      </c>
      <c r="H206">
        <v>18.5</v>
      </c>
      <c r="I206">
        <v>26.2</v>
      </c>
      <c r="J206">
        <v>41.5</v>
      </c>
      <c r="K206">
        <v>142.30000000000001</v>
      </c>
      <c r="L206">
        <v>106.3</v>
      </c>
      <c r="M206">
        <v>6.9</v>
      </c>
    </row>
    <row r="207" spans="1:13" x14ac:dyDescent="0.25">
      <c r="A207" t="s">
        <v>863</v>
      </c>
      <c r="B207">
        <v>77.8</v>
      </c>
      <c r="C207">
        <v>76.099999999999994</v>
      </c>
      <c r="D207">
        <v>65.2</v>
      </c>
      <c r="E207">
        <v>128.4</v>
      </c>
      <c r="F207">
        <v>75.5</v>
      </c>
      <c r="G207">
        <v>23.7</v>
      </c>
      <c r="H207">
        <v>40</v>
      </c>
      <c r="I207">
        <v>26.4</v>
      </c>
      <c r="J207">
        <v>73.400000000000006</v>
      </c>
      <c r="K207">
        <v>227.4</v>
      </c>
      <c r="L207">
        <v>125.3</v>
      </c>
      <c r="M207">
        <v>4.5999999999999996</v>
      </c>
    </row>
    <row r="208" spans="1:13" x14ac:dyDescent="0.25">
      <c r="A208" t="s">
        <v>866</v>
      </c>
      <c r="B208">
        <v>75.2</v>
      </c>
      <c r="C208">
        <v>77.2</v>
      </c>
      <c r="D208">
        <v>84.3</v>
      </c>
      <c r="E208">
        <v>68.5</v>
      </c>
      <c r="F208">
        <v>37</v>
      </c>
      <c r="G208">
        <v>109.4</v>
      </c>
      <c r="H208">
        <v>10.1</v>
      </c>
      <c r="I208">
        <v>23.1</v>
      </c>
      <c r="J208">
        <v>31.7</v>
      </c>
      <c r="K208">
        <v>146.80000000000001</v>
      </c>
      <c r="L208">
        <v>102.9</v>
      </c>
      <c r="M208">
        <v>4.5999999999999996</v>
      </c>
    </row>
    <row r="209" spans="1:13" x14ac:dyDescent="0.25">
      <c r="A209" t="s">
        <v>869</v>
      </c>
      <c r="B209">
        <v>87.9</v>
      </c>
      <c r="C209">
        <v>122.9</v>
      </c>
      <c r="D209">
        <v>122.7</v>
      </c>
      <c r="E209">
        <v>160.9</v>
      </c>
      <c r="F209">
        <v>147.4</v>
      </c>
      <c r="G209">
        <v>74.599999999999994</v>
      </c>
      <c r="H209">
        <v>57.5</v>
      </c>
      <c r="I209">
        <v>96.7</v>
      </c>
      <c r="J209">
        <v>22.8</v>
      </c>
      <c r="K209">
        <v>378.6</v>
      </c>
      <c r="L209">
        <v>190.3</v>
      </c>
      <c r="M209">
        <v>5.0999999999999996</v>
      </c>
    </row>
    <row r="210" spans="1:13" x14ac:dyDescent="0.25">
      <c r="A210" t="s">
        <v>872</v>
      </c>
      <c r="B210">
        <v>87.8</v>
      </c>
      <c r="C210">
        <v>102.9</v>
      </c>
      <c r="D210">
        <v>80.400000000000006</v>
      </c>
      <c r="E210">
        <v>153.1</v>
      </c>
      <c r="F210">
        <v>121</v>
      </c>
      <c r="G210">
        <v>35.200000000000003</v>
      </c>
      <c r="H210">
        <v>13.5</v>
      </c>
      <c r="I210">
        <v>81.5</v>
      </c>
      <c r="J210">
        <v>3.8</v>
      </c>
      <c r="K210">
        <v>253.1</v>
      </c>
      <c r="L210">
        <v>110.8</v>
      </c>
      <c r="M210">
        <v>5.7</v>
      </c>
    </row>
    <row r="211" spans="1:13" x14ac:dyDescent="0.25">
      <c r="A211" t="s">
        <v>875</v>
      </c>
      <c r="B211">
        <v>99.7</v>
      </c>
      <c r="C211">
        <v>79.7</v>
      </c>
      <c r="D211">
        <v>94.5</v>
      </c>
      <c r="E211">
        <v>88.4</v>
      </c>
      <c r="F211">
        <v>75.7</v>
      </c>
      <c r="G211">
        <v>20.399999999999999</v>
      </c>
      <c r="H211">
        <v>14.1</v>
      </c>
      <c r="I211">
        <v>22.6</v>
      </c>
      <c r="J211">
        <v>28.3</v>
      </c>
      <c r="K211">
        <v>219.7</v>
      </c>
      <c r="L211">
        <v>181.5</v>
      </c>
      <c r="M211">
        <v>8.9</v>
      </c>
    </row>
  </sheetData>
  <sheetProtection algorithmName="SHA-512" hashValue="3IzIj48ZFVZpaKWGY/Y2sNQEoPf8l/i09P9OvO5V+NVpUDbJThCXQklFsmZdbuq+8enTbPVlXtv51p2Vv5oe8g==" saltValue="jp4r7IatYvH3XdOQuibNvA==" spinCount="100000"/>
  <mergeCells count="1">
    <mergeCell ref="F2:G2"/>
  </mergeCells>
  <pageMargins left="0.7" right="0.7" top="0.75" bottom="0.75" header="0.3" footer="0.3"/>
  <pageSetup paperSize="9" orientation="portrait" horizontalDpi="1200" verticalDpi="1200" r:id="rId1"/>
  <ignoredErrors>
    <ignoredError sqref="C1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079AE-2EBC-4C15-83F1-58529A2A9082}">
  <dimension ref="A1:Q184"/>
  <sheetViews>
    <sheetView workbookViewId="0">
      <selection activeCell="N2" sqref="N2:O3"/>
    </sheetView>
  </sheetViews>
  <sheetFormatPr defaultColWidth="11.42578125" defaultRowHeight="15" x14ac:dyDescent="0.25"/>
  <cols>
    <col min="4" max="4" width="33.28515625" customWidth="1"/>
  </cols>
  <sheetData>
    <row r="1" spans="1:17" x14ac:dyDescent="0.25">
      <c r="A1" t="s">
        <v>271</v>
      </c>
      <c r="B1" t="s">
        <v>272</v>
      </c>
      <c r="C1" t="s">
        <v>273</v>
      </c>
      <c r="D1" t="s">
        <v>274</v>
      </c>
      <c r="E1" t="s">
        <v>275</v>
      </c>
      <c r="F1" t="s">
        <v>276</v>
      </c>
      <c r="G1" t="s">
        <v>277</v>
      </c>
      <c r="H1" t="s">
        <v>278</v>
      </c>
      <c r="I1" t="s">
        <v>279</v>
      </c>
      <c r="J1" t="s">
        <v>280</v>
      </c>
      <c r="K1" t="s">
        <v>281</v>
      </c>
      <c r="L1" t="s">
        <v>282</v>
      </c>
      <c r="M1" t="s">
        <v>283</v>
      </c>
      <c r="N1" t="s">
        <v>284</v>
      </c>
      <c r="O1" t="s">
        <v>285</v>
      </c>
      <c r="P1" t="s">
        <v>286</v>
      </c>
      <c r="Q1" t="s">
        <v>287</v>
      </c>
    </row>
    <row r="2" spans="1:17" x14ac:dyDescent="0.25">
      <c r="A2" t="s">
        <v>288</v>
      </c>
      <c r="B2" t="s">
        <v>289</v>
      </c>
      <c r="C2" t="s">
        <v>290</v>
      </c>
      <c r="D2" t="s">
        <v>291</v>
      </c>
      <c r="E2">
        <v>16.7</v>
      </c>
      <c r="F2">
        <v>85.6</v>
      </c>
      <c r="G2">
        <v>32.6</v>
      </c>
      <c r="H2">
        <v>80.5</v>
      </c>
      <c r="I2">
        <v>35.700000000000003</v>
      </c>
      <c r="J2">
        <v>22.2</v>
      </c>
      <c r="K2">
        <v>2.5</v>
      </c>
      <c r="L2">
        <v>42.2</v>
      </c>
      <c r="M2">
        <v>37.1</v>
      </c>
      <c r="N2">
        <v>220.5</v>
      </c>
      <c r="O2">
        <v>48.3</v>
      </c>
      <c r="P2">
        <v>7.7</v>
      </c>
      <c r="Q2">
        <v>631.6</v>
      </c>
    </row>
    <row r="3" spans="1:17" x14ac:dyDescent="0.25">
      <c r="A3" t="s">
        <v>288</v>
      </c>
      <c r="B3" t="s">
        <v>292</v>
      </c>
      <c r="C3" t="s">
        <v>293</v>
      </c>
      <c r="D3" t="s">
        <v>294</v>
      </c>
      <c r="E3">
        <v>23.5</v>
      </c>
      <c r="F3">
        <v>72.2</v>
      </c>
      <c r="G3">
        <v>45.2</v>
      </c>
      <c r="H3">
        <v>90.4</v>
      </c>
      <c r="I3">
        <v>81.099999999999994</v>
      </c>
      <c r="J3">
        <v>40.4</v>
      </c>
      <c r="K3">
        <v>4.2</v>
      </c>
      <c r="L3">
        <v>41.8</v>
      </c>
      <c r="M3">
        <v>38.4</v>
      </c>
      <c r="N3">
        <v>198.3</v>
      </c>
      <c r="O3">
        <v>51.8</v>
      </c>
      <c r="P3">
        <v>6.5</v>
      </c>
      <c r="Q3">
        <v>693.8</v>
      </c>
    </row>
    <row r="4" spans="1:17" x14ac:dyDescent="0.25">
      <c r="A4" t="s">
        <v>295</v>
      </c>
      <c r="B4" t="s">
        <v>296</v>
      </c>
      <c r="C4" t="s">
        <v>297</v>
      </c>
      <c r="D4" t="s">
        <v>298</v>
      </c>
      <c r="E4">
        <v>24.4</v>
      </c>
      <c r="F4">
        <v>67.7</v>
      </c>
      <c r="G4">
        <v>41.6</v>
      </c>
      <c r="H4">
        <v>132.80000000000001</v>
      </c>
      <c r="I4">
        <v>54.7</v>
      </c>
      <c r="J4">
        <v>56</v>
      </c>
      <c r="K4">
        <v>11.9</v>
      </c>
      <c r="L4">
        <v>18.100000000000001</v>
      </c>
      <c r="M4">
        <v>25.8</v>
      </c>
      <c r="N4">
        <v>251.7</v>
      </c>
      <c r="O4">
        <v>162</v>
      </c>
      <c r="P4">
        <v>18.2</v>
      </c>
      <c r="Q4">
        <v>864.9</v>
      </c>
    </row>
    <row r="5" spans="1:17" x14ac:dyDescent="0.25">
      <c r="A5" t="s">
        <v>295</v>
      </c>
      <c r="B5" t="s">
        <v>299</v>
      </c>
      <c r="C5" t="s">
        <v>300</v>
      </c>
      <c r="D5" t="s">
        <v>301</v>
      </c>
      <c r="E5">
        <v>19.8</v>
      </c>
      <c r="F5">
        <v>43.5</v>
      </c>
      <c r="G5">
        <v>44.1</v>
      </c>
      <c r="H5">
        <v>74.5</v>
      </c>
      <c r="I5">
        <v>57.1</v>
      </c>
      <c r="J5">
        <v>32.4</v>
      </c>
      <c r="K5">
        <v>12.4</v>
      </c>
      <c r="L5">
        <v>29.6</v>
      </c>
      <c r="M5">
        <v>4.0999999999999996</v>
      </c>
      <c r="N5">
        <v>202.2</v>
      </c>
      <c r="O5">
        <v>125.9</v>
      </c>
      <c r="P5">
        <v>12.7</v>
      </c>
      <c r="Q5">
        <v>658.3</v>
      </c>
    </row>
    <row r="6" spans="1:17" x14ac:dyDescent="0.25">
      <c r="A6" t="s">
        <v>295</v>
      </c>
      <c r="B6" t="s">
        <v>302</v>
      </c>
      <c r="C6" t="s">
        <v>303</v>
      </c>
      <c r="D6" t="s">
        <v>304</v>
      </c>
      <c r="E6">
        <v>53.6</v>
      </c>
      <c r="F6">
        <v>46.5</v>
      </c>
      <c r="G6">
        <v>41.9</v>
      </c>
      <c r="H6">
        <v>109.8</v>
      </c>
      <c r="I6">
        <v>82.1</v>
      </c>
      <c r="J6">
        <v>59.7</v>
      </c>
      <c r="K6">
        <v>21.4</v>
      </c>
      <c r="L6">
        <v>31.6</v>
      </c>
      <c r="M6">
        <v>17.7</v>
      </c>
      <c r="N6">
        <v>190.4</v>
      </c>
      <c r="O6">
        <v>177.4</v>
      </c>
      <c r="P6">
        <v>15</v>
      </c>
      <c r="Q6">
        <v>847.1</v>
      </c>
    </row>
    <row r="7" spans="1:17" x14ac:dyDescent="0.25">
      <c r="A7" t="s">
        <v>295</v>
      </c>
      <c r="B7" t="s">
        <v>305</v>
      </c>
      <c r="C7" t="s">
        <v>306</v>
      </c>
      <c r="D7" t="s">
        <v>307</v>
      </c>
      <c r="E7">
        <v>38.9</v>
      </c>
      <c r="F7">
        <v>87.1</v>
      </c>
      <c r="G7">
        <v>31.9</v>
      </c>
      <c r="H7">
        <v>128.9</v>
      </c>
      <c r="I7">
        <v>110.5</v>
      </c>
      <c r="J7">
        <v>97.3</v>
      </c>
      <c r="K7">
        <v>35.1</v>
      </c>
      <c r="L7">
        <v>22.8</v>
      </c>
      <c r="M7">
        <v>36.4</v>
      </c>
      <c r="N7">
        <v>209.1</v>
      </c>
      <c r="O7">
        <v>265.5</v>
      </c>
      <c r="P7">
        <v>15.1</v>
      </c>
      <c r="Q7">
        <v>1078.5999999999999</v>
      </c>
    </row>
    <row r="8" spans="1:17" x14ac:dyDescent="0.25">
      <c r="A8" t="s">
        <v>295</v>
      </c>
      <c r="B8" t="s">
        <v>308</v>
      </c>
      <c r="C8" t="s">
        <v>309</v>
      </c>
      <c r="D8" t="s">
        <v>310</v>
      </c>
      <c r="E8">
        <v>57</v>
      </c>
      <c r="F8">
        <v>81.099999999999994</v>
      </c>
      <c r="G8">
        <v>40.799999999999997</v>
      </c>
      <c r="H8">
        <v>152.5</v>
      </c>
      <c r="I8">
        <v>102.9</v>
      </c>
      <c r="J8">
        <v>68.3</v>
      </c>
      <c r="K8">
        <v>39.299999999999997</v>
      </c>
      <c r="L8">
        <v>27.7</v>
      </c>
      <c r="M8">
        <v>34.700000000000003</v>
      </c>
      <c r="N8">
        <v>297.89999999999998</v>
      </c>
      <c r="O8">
        <v>272.8</v>
      </c>
      <c r="P8">
        <v>16.3</v>
      </c>
      <c r="Q8">
        <v>1191.3</v>
      </c>
    </row>
    <row r="9" spans="1:17" x14ac:dyDescent="0.25">
      <c r="A9" t="s">
        <v>295</v>
      </c>
      <c r="B9" t="s">
        <v>311</v>
      </c>
      <c r="C9" t="s">
        <v>312</v>
      </c>
      <c r="D9" t="s">
        <v>313</v>
      </c>
      <c r="E9">
        <v>17.7</v>
      </c>
      <c r="F9">
        <v>58.7</v>
      </c>
      <c r="G9">
        <v>68.900000000000006</v>
      </c>
      <c r="H9">
        <v>75.599999999999994</v>
      </c>
      <c r="I9">
        <v>24.1</v>
      </c>
      <c r="J9">
        <v>28</v>
      </c>
      <c r="K9">
        <v>40.200000000000003</v>
      </c>
      <c r="L9">
        <v>60.8</v>
      </c>
      <c r="M9">
        <v>24.2</v>
      </c>
      <c r="N9">
        <v>231.8</v>
      </c>
      <c r="O9">
        <v>64.5</v>
      </c>
      <c r="P9">
        <v>29.8</v>
      </c>
      <c r="Q9">
        <v>724.3</v>
      </c>
    </row>
    <row r="10" spans="1:17" x14ac:dyDescent="0.25">
      <c r="A10" t="s">
        <v>295</v>
      </c>
      <c r="B10" t="s">
        <v>314</v>
      </c>
      <c r="C10" t="s">
        <v>315</v>
      </c>
      <c r="D10" t="s">
        <v>316</v>
      </c>
      <c r="E10">
        <v>21.8</v>
      </c>
      <c r="F10">
        <v>44.3</v>
      </c>
      <c r="G10">
        <v>48.9</v>
      </c>
      <c r="H10">
        <v>63.3</v>
      </c>
      <c r="I10">
        <v>33.1</v>
      </c>
      <c r="J10">
        <v>25.2</v>
      </c>
      <c r="K10">
        <v>22.4</v>
      </c>
      <c r="L10">
        <v>70.7</v>
      </c>
      <c r="M10">
        <v>2.2999999999999998</v>
      </c>
      <c r="N10">
        <v>222.1</v>
      </c>
      <c r="O10">
        <v>81.3</v>
      </c>
      <c r="P10">
        <v>20.5</v>
      </c>
      <c r="Q10">
        <v>655.9</v>
      </c>
    </row>
    <row r="11" spans="1:17" x14ac:dyDescent="0.25">
      <c r="A11" t="s">
        <v>295</v>
      </c>
      <c r="B11" t="s">
        <v>317</v>
      </c>
      <c r="C11" t="s">
        <v>318</v>
      </c>
      <c r="D11" t="s">
        <v>319</v>
      </c>
      <c r="E11">
        <v>25.6</v>
      </c>
      <c r="F11">
        <v>61.1</v>
      </c>
      <c r="G11">
        <v>40.299999999999997</v>
      </c>
      <c r="H11">
        <v>79.599999999999994</v>
      </c>
      <c r="I11">
        <v>44.5</v>
      </c>
      <c r="J11">
        <v>45.5</v>
      </c>
      <c r="K11">
        <v>38.200000000000003</v>
      </c>
      <c r="L11">
        <v>49.2</v>
      </c>
      <c r="M11">
        <v>8.6</v>
      </c>
      <c r="N11">
        <v>211.5</v>
      </c>
      <c r="O11">
        <v>112.6</v>
      </c>
      <c r="P11">
        <v>21.7</v>
      </c>
      <c r="Q11">
        <v>738.4</v>
      </c>
    </row>
    <row r="12" spans="1:17" x14ac:dyDescent="0.25">
      <c r="A12" t="s">
        <v>295</v>
      </c>
      <c r="B12" t="s">
        <v>320</v>
      </c>
      <c r="C12" t="s">
        <v>321</v>
      </c>
      <c r="D12" t="s">
        <v>322</v>
      </c>
      <c r="E12">
        <v>34</v>
      </c>
      <c r="F12">
        <v>67.8</v>
      </c>
      <c r="G12">
        <v>43.4</v>
      </c>
      <c r="H12">
        <v>71.599999999999994</v>
      </c>
      <c r="I12">
        <v>62.9</v>
      </c>
      <c r="J12">
        <v>46.6</v>
      </c>
      <c r="K12">
        <v>38.5</v>
      </c>
      <c r="L12">
        <v>18</v>
      </c>
      <c r="M12">
        <v>6.3</v>
      </c>
      <c r="N12">
        <v>191.3</v>
      </c>
      <c r="O12">
        <v>114.5</v>
      </c>
      <c r="P12">
        <v>20.2</v>
      </c>
      <c r="Q12">
        <v>715.1</v>
      </c>
    </row>
    <row r="13" spans="1:17" x14ac:dyDescent="0.25">
      <c r="A13" t="s">
        <v>323</v>
      </c>
      <c r="B13" t="s">
        <v>324</v>
      </c>
      <c r="C13" t="s">
        <v>325</v>
      </c>
      <c r="D13" t="s">
        <v>326</v>
      </c>
      <c r="E13">
        <v>63.3</v>
      </c>
      <c r="F13">
        <v>117.8</v>
      </c>
      <c r="G13">
        <v>72.8</v>
      </c>
      <c r="H13">
        <v>90.3</v>
      </c>
      <c r="I13">
        <v>96.3</v>
      </c>
      <c r="J13">
        <v>55.3</v>
      </c>
      <c r="K13">
        <v>11.2</v>
      </c>
      <c r="L13">
        <v>25.6</v>
      </c>
      <c r="M13">
        <v>41.9</v>
      </c>
      <c r="N13">
        <v>185.8</v>
      </c>
      <c r="O13">
        <v>72.599999999999994</v>
      </c>
      <c r="P13">
        <v>2.5</v>
      </c>
      <c r="Q13">
        <v>835.4</v>
      </c>
    </row>
    <row r="14" spans="1:17" x14ac:dyDescent="0.25">
      <c r="A14" t="s">
        <v>323</v>
      </c>
      <c r="B14" t="s">
        <v>327</v>
      </c>
      <c r="C14" t="s">
        <v>328</v>
      </c>
      <c r="D14" t="s">
        <v>329</v>
      </c>
      <c r="E14">
        <v>63.4</v>
      </c>
      <c r="F14">
        <v>121.3</v>
      </c>
      <c r="G14">
        <v>65.900000000000006</v>
      </c>
      <c r="H14">
        <v>110.3</v>
      </c>
      <c r="I14">
        <v>88.9</v>
      </c>
      <c r="J14">
        <v>36.299999999999997</v>
      </c>
      <c r="K14">
        <v>0.9</v>
      </c>
      <c r="L14">
        <v>26.2</v>
      </c>
      <c r="M14">
        <v>36.4</v>
      </c>
      <c r="N14">
        <v>222.8</v>
      </c>
      <c r="O14">
        <v>61.8</v>
      </c>
      <c r="P14">
        <v>4.8</v>
      </c>
      <c r="Q14">
        <v>839</v>
      </c>
    </row>
    <row r="15" spans="1:17" x14ac:dyDescent="0.25">
      <c r="A15" t="s">
        <v>323</v>
      </c>
      <c r="B15" t="s">
        <v>330</v>
      </c>
      <c r="C15" t="s">
        <v>331</v>
      </c>
      <c r="D15" t="s">
        <v>332</v>
      </c>
      <c r="E15">
        <v>61.5</v>
      </c>
      <c r="F15">
        <v>130.6</v>
      </c>
      <c r="G15">
        <v>60.9</v>
      </c>
      <c r="H15">
        <v>88.7</v>
      </c>
      <c r="I15">
        <v>48.4</v>
      </c>
      <c r="J15">
        <v>47.1</v>
      </c>
      <c r="K15">
        <v>13.9</v>
      </c>
      <c r="L15">
        <v>46.9</v>
      </c>
      <c r="M15">
        <v>31.2</v>
      </c>
      <c r="N15">
        <v>214.2</v>
      </c>
      <c r="O15">
        <v>94</v>
      </c>
      <c r="P15">
        <v>3.6</v>
      </c>
      <c r="Q15">
        <v>841</v>
      </c>
    </row>
    <row r="16" spans="1:17" x14ac:dyDescent="0.25">
      <c r="A16" t="s">
        <v>323</v>
      </c>
      <c r="B16" t="s">
        <v>333</v>
      </c>
      <c r="C16" t="s">
        <v>334</v>
      </c>
      <c r="D16" t="s">
        <v>335</v>
      </c>
      <c r="E16">
        <v>57</v>
      </c>
      <c r="F16">
        <v>130.1</v>
      </c>
      <c r="G16">
        <v>48.3</v>
      </c>
      <c r="H16">
        <v>83.7</v>
      </c>
      <c r="I16">
        <v>39.700000000000003</v>
      </c>
      <c r="J16">
        <v>29.7</v>
      </c>
      <c r="K16">
        <v>9.4</v>
      </c>
      <c r="L16">
        <v>48</v>
      </c>
      <c r="M16">
        <v>38.700000000000003</v>
      </c>
      <c r="N16">
        <v>252</v>
      </c>
      <c r="O16">
        <v>60.7</v>
      </c>
      <c r="P16">
        <v>4.5</v>
      </c>
      <c r="Q16">
        <v>801.8</v>
      </c>
    </row>
    <row r="17" spans="1:17" x14ac:dyDescent="0.25">
      <c r="A17" t="s">
        <v>323</v>
      </c>
      <c r="B17" t="s">
        <v>336</v>
      </c>
      <c r="C17" t="s">
        <v>337</v>
      </c>
      <c r="D17" t="s">
        <v>338</v>
      </c>
      <c r="E17">
        <v>50.3</v>
      </c>
      <c r="F17">
        <v>96.1</v>
      </c>
      <c r="G17">
        <v>70.3</v>
      </c>
      <c r="H17">
        <v>82.7</v>
      </c>
      <c r="I17">
        <v>82.5</v>
      </c>
      <c r="J17">
        <v>47</v>
      </c>
      <c r="K17">
        <v>10.8</v>
      </c>
      <c r="L17">
        <v>49.8</v>
      </c>
      <c r="M17">
        <v>67.900000000000006</v>
      </c>
      <c r="N17">
        <v>181</v>
      </c>
      <c r="O17">
        <v>92</v>
      </c>
      <c r="P17">
        <v>3.3</v>
      </c>
      <c r="Q17">
        <v>833.7</v>
      </c>
    </row>
    <row r="18" spans="1:17" x14ac:dyDescent="0.25">
      <c r="A18" t="s">
        <v>339</v>
      </c>
      <c r="B18" t="s">
        <v>340</v>
      </c>
      <c r="C18" t="s">
        <v>341</v>
      </c>
      <c r="D18" t="s">
        <v>342</v>
      </c>
      <c r="E18">
        <v>91.7</v>
      </c>
      <c r="F18">
        <v>131.5</v>
      </c>
      <c r="G18">
        <v>129.69999999999999</v>
      </c>
      <c r="H18">
        <v>132.9</v>
      </c>
      <c r="I18">
        <v>169</v>
      </c>
      <c r="J18">
        <v>95.8</v>
      </c>
      <c r="K18">
        <v>26.8</v>
      </c>
      <c r="L18">
        <v>119.9</v>
      </c>
      <c r="M18">
        <v>43</v>
      </c>
      <c r="N18">
        <v>250.6</v>
      </c>
      <c r="O18">
        <v>84.5</v>
      </c>
      <c r="P18">
        <v>6.6</v>
      </c>
      <c r="Q18">
        <v>1282</v>
      </c>
    </row>
    <row r="19" spans="1:17" x14ac:dyDescent="0.25">
      <c r="A19" t="s">
        <v>339</v>
      </c>
      <c r="B19" t="s">
        <v>343</v>
      </c>
      <c r="C19" t="s">
        <v>344</v>
      </c>
      <c r="D19" t="s">
        <v>345</v>
      </c>
      <c r="E19">
        <v>58.9</v>
      </c>
      <c r="F19">
        <v>73.7</v>
      </c>
      <c r="G19">
        <v>55.4</v>
      </c>
      <c r="H19">
        <v>96.7</v>
      </c>
      <c r="I19">
        <v>143.69999999999999</v>
      </c>
      <c r="J19">
        <v>40.799999999999997</v>
      </c>
      <c r="K19">
        <v>51</v>
      </c>
      <c r="L19">
        <v>33.799999999999997</v>
      </c>
      <c r="M19">
        <v>63</v>
      </c>
      <c r="N19">
        <v>125.7</v>
      </c>
      <c r="O19">
        <v>52</v>
      </c>
      <c r="P19">
        <v>6</v>
      </c>
      <c r="Q19">
        <v>800.7</v>
      </c>
    </row>
    <row r="20" spans="1:17" x14ac:dyDescent="0.25">
      <c r="A20" t="s">
        <v>339</v>
      </c>
      <c r="B20" t="s">
        <v>346</v>
      </c>
      <c r="C20" t="s">
        <v>347</v>
      </c>
      <c r="D20" t="s">
        <v>348</v>
      </c>
      <c r="E20">
        <v>56.4</v>
      </c>
      <c r="F20">
        <v>137.5</v>
      </c>
      <c r="G20">
        <v>109.1</v>
      </c>
      <c r="H20">
        <v>140.5</v>
      </c>
      <c r="I20">
        <v>161.6</v>
      </c>
      <c r="J20">
        <v>52.9</v>
      </c>
      <c r="K20">
        <v>21.7</v>
      </c>
      <c r="L20">
        <v>74.7</v>
      </c>
      <c r="M20">
        <v>25.5</v>
      </c>
      <c r="N20">
        <v>169.5</v>
      </c>
      <c r="O20">
        <v>90.5</v>
      </c>
      <c r="P20">
        <v>10.3</v>
      </c>
      <c r="Q20">
        <v>1050.2</v>
      </c>
    </row>
    <row r="21" spans="1:17" x14ac:dyDescent="0.25">
      <c r="A21" t="s">
        <v>339</v>
      </c>
      <c r="B21" t="s">
        <v>349</v>
      </c>
      <c r="C21" t="s">
        <v>350</v>
      </c>
      <c r="D21" t="s">
        <v>351</v>
      </c>
      <c r="E21">
        <v>66.5</v>
      </c>
      <c r="F21">
        <v>90.3</v>
      </c>
      <c r="G21">
        <v>82</v>
      </c>
      <c r="H21">
        <v>107.1</v>
      </c>
      <c r="I21">
        <v>185.4</v>
      </c>
      <c r="J21">
        <v>112.9</v>
      </c>
      <c r="K21">
        <v>15.3</v>
      </c>
      <c r="L21">
        <v>78.400000000000006</v>
      </c>
      <c r="M21">
        <v>84.6</v>
      </c>
      <c r="N21">
        <v>155.5</v>
      </c>
      <c r="O21">
        <v>65.5</v>
      </c>
      <c r="P21">
        <v>6.8</v>
      </c>
      <c r="Q21">
        <v>1050.3</v>
      </c>
    </row>
    <row r="22" spans="1:17" x14ac:dyDescent="0.25">
      <c r="A22" t="s">
        <v>352</v>
      </c>
      <c r="B22" t="s">
        <v>353</v>
      </c>
      <c r="C22" t="s">
        <v>354</v>
      </c>
      <c r="D22" t="s">
        <v>355</v>
      </c>
      <c r="E22">
        <v>113.6</v>
      </c>
      <c r="F22">
        <v>183</v>
      </c>
      <c r="G22">
        <v>229.8</v>
      </c>
      <c r="H22">
        <v>254.9</v>
      </c>
      <c r="I22">
        <v>179.9</v>
      </c>
      <c r="J22">
        <v>104.3</v>
      </c>
      <c r="K22">
        <v>42.5</v>
      </c>
      <c r="L22">
        <v>148.69999999999999</v>
      </c>
      <c r="M22">
        <v>212.3</v>
      </c>
      <c r="N22">
        <v>181</v>
      </c>
      <c r="O22">
        <v>99</v>
      </c>
      <c r="P22">
        <v>8.4</v>
      </c>
      <c r="Q22">
        <v>1757.4</v>
      </c>
    </row>
    <row r="23" spans="1:17" x14ac:dyDescent="0.25">
      <c r="A23" t="s">
        <v>352</v>
      </c>
      <c r="B23" t="s">
        <v>356</v>
      </c>
      <c r="C23" t="s">
        <v>357</v>
      </c>
      <c r="D23" t="s">
        <v>358</v>
      </c>
      <c r="E23">
        <v>46.4</v>
      </c>
      <c r="F23">
        <v>103.7</v>
      </c>
      <c r="G23">
        <v>130.69999999999999</v>
      </c>
      <c r="H23">
        <v>231.2</v>
      </c>
      <c r="I23">
        <v>202.7</v>
      </c>
      <c r="J23">
        <v>88.7</v>
      </c>
      <c r="K23">
        <v>44.6</v>
      </c>
      <c r="L23">
        <v>64.900000000000006</v>
      </c>
      <c r="M23">
        <v>112.5</v>
      </c>
      <c r="N23">
        <v>145.19999999999999</v>
      </c>
      <c r="O23">
        <v>91.3</v>
      </c>
      <c r="P23">
        <v>12.8</v>
      </c>
      <c r="Q23">
        <v>1274.7</v>
      </c>
    </row>
    <row r="24" spans="1:17" x14ac:dyDescent="0.25">
      <c r="A24" t="s">
        <v>359</v>
      </c>
      <c r="B24" t="s">
        <v>360</v>
      </c>
      <c r="C24" t="s">
        <v>361</v>
      </c>
      <c r="D24" t="s">
        <v>362</v>
      </c>
      <c r="E24">
        <v>69.099999999999994</v>
      </c>
      <c r="F24">
        <v>87.3</v>
      </c>
      <c r="G24">
        <v>56.3</v>
      </c>
      <c r="H24">
        <v>92.7</v>
      </c>
      <c r="I24">
        <v>79</v>
      </c>
      <c r="J24">
        <v>94.7</v>
      </c>
      <c r="K24">
        <v>7.3</v>
      </c>
      <c r="L24">
        <v>27.6</v>
      </c>
      <c r="M24">
        <v>76</v>
      </c>
      <c r="N24">
        <v>187.2</v>
      </c>
      <c r="O24">
        <v>108.5</v>
      </c>
      <c r="P24">
        <v>2.2999999999999998</v>
      </c>
      <c r="Q24">
        <v>888</v>
      </c>
    </row>
    <row r="25" spans="1:17" x14ac:dyDescent="0.25">
      <c r="A25" t="s">
        <v>359</v>
      </c>
      <c r="B25" t="s">
        <v>363</v>
      </c>
      <c r="C25" t="s">
        <v>364</v>
      </c>
      <c r="D25" t="s">
        <v>365</v>
      </c>
      <c r="E25">
        <v>53.2</v>
      </c>
      <c r="F25">
        <v>129.80000000000001</v>
      </c>
      <c r="G25">
        <v>63.1</v>
      </c>
      <c r="H25">
        <v>129</v>
      </c>
      <c r="I25">
        <v>123.6</v>
      </c>
      <c r="J25">
        <v>63.3</v>
      </c>
      <c r="K25">
        <v>2.7</v>
      </c>
      <c r="L25">
        <v>19.3</v>
      </c>
      <c r="M25">
        <v>33.299999999999997</v>
      </c>
      <c r="N25">
        <v>263.5</v>
      </c>
      <c r="O25">
        <v>79.3</v>
      </c>
      <c r="P25">
        <v>3.8</v>
      </c>
      <c r="Q25">
        <v>963.9</v>
      </c>
    </row>
    <row r="26" spans="1:17" x14ac:dyDescent="0.25">
      <c r="A26" t="s">
        <v>359</v>
      </c>
      <c r="B26" t="s">
        <v>366</v>
      </c>
      <c r="C26" t="s">
        <v>367</v>
      </c>
      <c r="D26" t="s">
        <v>368</v>
      </c>
      <c r="E26">
        <v>42.4</v>
      </c>
      <c r="F26">
        <v>60.6</v>
      </c>
      <c r="G26">
        <v>59.5</v>
      </c>
      <c r="H26">
        <v>88.7</v>
      </c>
      <c r="I26">
        <v>66.8</v>
      </c>
      <c r="J26">
        <v>44</v>
      </c>
      <c r="K26">
        <v>27.3</v>
      </c>
      <c r="L26">
        <v>98.2</v>
      </c>
      <c r="M26">
        <v>38.299999999999997</v>
      </c>
      <c r="N26">
        <v>196.2</v>
      </c>
      <c r="O26">
        <v>63.6</v>
      </c>
      <c r="P26">
        <v>5.8</v>
      </c>
      <c r="Q26">
        <v>791.4</v>
      </c>
    </row>
    <row r="27" spans="1:17" x14ac:dyDescent="0.25">
      <c r="A27" t="s">
        <v>359</v>
      </c>
      <c r="B27" t="s">
        <v>369</v>
      </c>
      <c r="C27" t="s">
        <v>370</v>
      </c>
      <c r="D27" t="s">
        <v>371</v>
      </c>
      <c r="E27">
        <v>65.3</v>
      </c>
      <c r="F27">
        <v>100.5</v>
      </c>
      <c r="G27">
        <v>45.6</v>
      </c>
      <c r="H27">
        <v>78.8</v>
      </c>
      <c r="I27">
        <v>68.599999999999994</v>
      </c>
      <c r="J27">
        <v>82.5</v>
      </c>
      <c r="K27">
        <v>13.9</v>
      </c>
      <c r="L27">
        <v>91.5</v>
      </c>
      <c r="M27">
        <v>41.2</v>
      </c>
      <c r="N27">
        <v>191.8</v>
      </c>
      <c r="O27">
        <v>74.599999999999994</v>
      </c>
      <c r="P27">
        <v>4.3</v>
      </c>
      <c r="Q27">
        <v>858.6</v>
      </c>
    </row>
    <row r="28" spans="1:17" x14ac:dyDescent="0.25">
      <c r="A28" t="s">
        <v>372</v>
      </c>
      <c r="B28" t="s">
        <v>373</v>
      </c>
      <c r="C28" t="s">
        <v>374</v>
      </c>
      <c r="D28" t="s">
        <v>375</v>
      </c>
      <c r="E28">
        <v>85.7</v>
      </c>
      <c r="F28">
        <v>85.9</v>
      </c>
      <c r="G28">
        <v>67.400000000000006</v>
      </c>
      <c r="H28">
        <v>70.5</v>
      </c>
      <c r="I28">
        <v>194.7</v>
      </c>
      <c r="J28">
        <v>84.6</v>
      </c>
      <c r="K28">
        <v>12.4</v>
      </c>
      <c r="L28">
        <v>93.1</v>
      </c>
      <c r="M28">
        <v>9.6</v>
      </c>
      <c r="N28">
        <v>181.2</v>
      </c>
      <c r="O28">
        <v>88</v>
      </c>
      <c r="P28">
        <v>5.4</v>
      </c>
      <c r="Q28">
        <v>978.5</v>
      </c>
    </row>
    <row r="29" spans="1:17" x14ac:dyDescent="0.25">
      <c r="A29" t="s">
        <v>372</v>
      </c>
      <c r="B29" t="s">
        <v>376</v>
      </c>
      <c r="C29" t="s">
        <v>377</v>
      </c>
      <c r="D29" t="s">
        <v>378</v>
      </c>
      <c r="E29">
        <v>76.8</v>
      </c>
      <c r="F29">
        <v>84.9</v>
      </c>
      <c r="G29">
        <v>59.6</v>
      </c>
      <c r="H29">
        <v>84</v>
      </c>
      <c r="I29">
        <v>71.7</v>
      </c>
      <c r="J29">
        <v>37</v>
      </c>
      <c r="K29">
        <v>71.400000000000006</v>
      </c>
      <c r="L29">
        <v>64.900000000000006</v>
      </c>
      <c r="M29">
        <v>42</v>
      </c>
      <c r="N29">
        <v>170.2</v>
      </c>
      <c r="O29">
        <v>88</v>
      </c>
      <c r="P29">
        <v>6.1</v>
      </c>
      <c r="Q29">
        <v>856.6</v>
      </c>
    </row>
    <row r="30" spans="1:17" x14ac:dyDescent="0.25">
      <c r="A30" t="s">
        <v>372</v>
      </c>
      <c r="B30" t="s">
        <v>379</v>
      </c>
      <c r="C30" t="s">
        <v>380</v>
      </c>
      <c r="D30" t="s">
        <v>381</v>
      </c>
      <c r="E30">
        <v>83.8</v>
      </c>
      <c r="F30">
        <v>88</v>
      </c>
      <c r="G30">
        <v>54.1</v>
      </c>
      <c r="H30">
        <v>66.099999999999994</v>
      </c>
      <c r="I30">
        <v>113.6</v>
      </c>
      <c r="J30">
        <v>98</v>
      </c>
      <c r="K30">
        <v>29.8</v>
      </c>
      <c r="L30">
        <v>80.599999999999994</v>
      </c>
      <c r="M30">
        <v>24</v>
      </c>
      <c r="N30">
        <v>172.6</v>
      </c>
      <c r="O30">
        <v>89.6</v>
      </c>
      <c r="P30">
        <v>7</v>
      </c>
      <c r="Q30">
        <v>907.2</v>
      </c>
    </row>
    <row r="31" spans="1:17" x14ac:dyDescent="0.25">
      <c r="A31" t="s">
        <v>372</v>
      </c>
      <c r="B31" t="s">
        <v>382</v>
      </c>
      <c r="C31" t="s">
        <v>383</v>
      </c>
      <c r="D31" t="s">
        <v>384</v>
      </c>
      <c r="E31">
        <v>68.2</v>
      </c>
      <c r="F31">
        <v>87.8</v>
      </c>
      <c r="G31">
        <v>63.2</v>
      </c>
      <c r="H31">
        <v>84.6</v>
      </c>
      <c r="I31">
        <v>183.7</v>
      </c>
      <c r="J31">
        <v>57.4</v>
      </c>
      <c r="K31">
        <v>10.4</v>
      </c>
      <c r="L31">
        <v>20.5</v>
      </c>
      <c r="M31">
        <v>17.5</v>
      </c>
      <c r="N31">
        <v>162</v>
      </c>
      <c r="O31">
        <v>116.1</v>
      </c>
      <c r="P31">
        <v>4</v>
      </c>
      <c r="Q31">
        <v>875.4</v>
      </c>
    </row>
    <row r="32" spans="1:17" x14ac:dyDescent="0.25">
      <c r="A32" t="s">
        <v>372</v>
      </c>
      <c r="B32" t="s">
        <v>385</v>
      </c>
      <c r="C32" t="s">
        <v>386</v>
      </c>
      <c r="D32" t="s">
        <v>387</v>
      </c>
      <c r="E32">
        <v>80.3</v>
      </c>
      <c r="F32">
        <v>80.400000000000006</v>
      </c>
      <c r="G32">
        <v>67.2</v>
      </c>
      <c r="H32">
        <v>106.3</v>
      </c>
      <c r="I32">
        <v>124.8</v>
      </c>
      <c r="J32">
        <v>69.8</v>
      </c>
      <c r="K32">
        <v>26.4</v>
      </c>
      <c r="L32">
        <v>44.2</v>
      </c>
      <c r="M32">
        <v>56.9</v>
      </c>
      <c r="N32">
        <v>171.8</v>
      </c>
      <c r="O32">
        <v>145.69999999999999</v>
      </c>
      <c r="P32">
        <v>3.6</v>
      </c>
      <c r="Q32">
        <v>977.4</v>
      </c>
    </row>
    <row r="33" spans="1:17" x14ac:dyDescent="0.25">
      <c r="A33" t="s">
        <v>372</v>
      </c>
      <c r="B33" t="s">
        <v>388</v>
      </c>
      <c r="C33" t="s">
        <v>389</v>
      </c>
      <c r="D33" t="s">
        <v>390</v>
      </c>
      <c r="E33">
        <v>84</v>
      </c>
      <c r="F33">
        <v>110.1</v>
      </c>
      <c r="G33">
        <v>58.4</v>
      </c>
      <c r="H33">
        <v>90.1</v>
      </c>
      <c r="I33">
        <v>118.6</v>
      </c>
      <c r="J33">
        <v>43.2</v>
      </c>
      <c r="K33">
        <v>20.9</v>
      </c>
      <c r="L33">
        <v>34.200000000000003</v>
      </c>
      <c r="M33">
        <v>52</v>
      </c>
      <c r="N33">
        <v>194.7</v>
      </c>
      <c r="O33">
        <v>129.30000000000001</v>
      </c>
      <c r="P33">
        <v>3.1</v>
      </c>
      <c r="Q33">
        <v>938.6</v>
      </c>
    </row>
    <row r="34" spans="1:17" x14ac:dyDescent="0.25">
      <c r="A34" t="s">
        <v>391</v>
      </c>
      <c r="B34" t="s">
        <v>392</v>
      </c>
      <c r="C34" t="s">
        <v>393</v>
      </c>
      <c r="D34" t="s">
        <v>394</v>
      </c>
      <c r="E34">
        <v>10.8</v>
      </c>
      <c r="F34">
        <v>116.6</v>
      </c>
      <c r="G34">
        <v>22.5</v>
      </c>
      <c r="H34">
        <v>61</v>
      </c>
      <c r="I34">
        <v>15.2</v>
      </c>
      <c r="J34">
        <v>17.8</v>
      </c>
      <c r="K34">
        <v>6.9</v>
      </c>
      <c r="L34">
        <v>27.4</v>
      </c>
      <c r="M34">
        <v>71.599999999999994</v>
      </c>
      <c r="N34">
        <v>197.1</v>
      </c>
      <c r="O34">
        <v>70.400000000000006</v>
      </c>
      <c r="P34">
        <v>3.9</v>
      </c>
      <c r="Q34">
        <v>621.20000000000005</v>
      </c>
    </row>
    <row r="35" spans="1:17" x14ac:dyDescent="0.25">
      <c r="A35" t="s">
        <v>391</v>
      </c>
      <c r="B35" t="s">
        <v>395</v>
      </c>
      <c r="C35" t="s">
        <v>396</v>
      </c>
      <c r="D35" t="s">
        <v>397</v>
      </c>
      <c r="E35">
        <v>52.4</v>
      </c>
      <c r="F35">
        <v>100.7</v>
      </c>
      <c r="G35">
        <v>67.599999999999994</v>
      </c>
      <c r="H35">
        <v>155.6</v>
      </c>
      <c r="I35">
        <v>127.4</v>
      </c>
      <c r="J35">
        <v>17.5</v>
      </c>
      <c r="K35">
        <v>5.7</v>
      </c>
      <c r="L35">
        <v>25.6</v>
      </c>
      <c r="M35">
        <v>46.7</v>
      </c>
      <c r="N35">
        <v>314.39999999999998</v>
      </c>
      <c r="O35">
        <v>93.1</v>
      </c>
      <c r="P35">
        <v>14</v>
      </c>
      <c r="Q35">
        <v>1020.7</v>
      </c>
    </row>
    <row r="36" spans="1:17" x14ac:dyDescent="0.25">
      <c r="A36" t="s">
        <v>391</v>
      </c>
      <c r="B36" t="s">
        <v>398</v>
      </c>
      <c r="C36" t="s">
        <v>399</v>
      </c>
      <c r="D36" t="s">
        <v>400</v>
      </c>
      <c r="E36">
        <v>16.5</v>
      </c>
      <c r="F36">
        <v>101.4</v>
      </c>
      <c r="G36">
        <v>32.5</v>
      </c>
      <c r="H36">
        <v>64.8</v>
      </c>
      <c r="I36">
        <v>55.8</v>
      </c>
      <c r="J36">
        <v>10.7</v>
      </c>
      <c r="K36">
        <v>5.2</v>
      </c>
      <c r="L36">
        <v>102.2</v>
      </c>
      <c r="M36">
        <v>26.2</v>
      </c>
      <c r="N36">
        <v>287.8</v>
      </c>
      <c r="O36">
        <v>69.7</v>
      </c>
      <c r="P36">
        <v>4.9000000000000004</v>
      </c>
      <c r="Q36">
        <v>777.7</v>
      </c>
    </row>
    <row r="37" spans="1:17" x14ac:dyDescent="0.25">
      <c r="A37" t="s">
        <v>391</v>
      </c>
      <c r="B37" t="s">
        <v>401</v>
      </c>
      <c r="C37" t="s">
        <v>402</v>
      </c>
      <c r="D37" t="s">
        <v>403</v>
      </c>
      <c r="E37">
        <v>12</v>
      </c>
      <c r="F37">
        <v>88.3</v>
      </c>
      <c r="G37">
        <v>19.7</v>
      </c>
      <c r="H37">
        <v>62.3</v>
      </c>
      <c r="I37">
        <v>19.8</v>
      </c>
      <c r="J37">
        <v>9.3000000000000007</v>
      </c>
      <c r="K37">
        <v>5.2</v>
      </c>
      <c r="L37">
        <v>100.1</v>
      </c>
      <c r="M37">
        <v>29.8</v>
      </c>
      <c r="N37">
        <v>275.60000000000002</v>
      </c>
      <c r="O37">
        <v>55.3</v>
      </c>
      <c r="P37">
        <v>5.0999999999999996</v>
      </c>
      <c r="Q37">
        <v>682.5</v>
      </c>
    </row>
    <row r="38" spans="1:17" x14ac:dyDescent="0.25">
      <c r="A38" t="s">
        <v>404</v>
      </c>
      <c r="B38" t="s">
        <v>405</v>
      </c>
      <c r="C38" t="s">
        <v>406</v>
      </c>
      <c r="D38" t="s">
        <v>407</v>
      </c>
      <c r="E38">
        <v>9.8000000000000007</v>
      </c>
      <c r="F38">
        <v>42.4</v>
      </c>
      <c r="G38">
        <v>25.8</v>
      </c>
      <c r="H38">
        <v>58.8</v>
      </c>
      <c r="I38">
        <v>25.2</v>
      </c>
      <c r="J38">
        <v>7.3</v>
      </c>
      <c r="K38">
        <v>35.200000000000003</v>
      </c>
      <c r="L38">
        <v>91.6</v>
      </c>
      <c r="M38">
        <v>42.5</v>
      </c>
      <c r="N38">
        <v>234.6</v>
      </c>
      <c r="O38">
        <v>115.4</v>
      </c>
      <c r="P38">
        <v>8.1999999999999993</v>
      </c>
      <c r="Q38">
        <v>696.8</v>
      </c>
    </row>
    <row r="39" spans="1:17" x14ac:dyDescent="0.25">
      <c r="A39" t="s">
        <v>404</v>
      </c>
      <c r="B39" t="s">
        <v>408</v>
      </c>
      <c r="C39" t="s">
        <v>409</v>
      </c>
      <c r="D39" t="s">
        <v>410</v>
      </c>
      <c r="E39">
        <v>11.8</v>
      </c>
      <c r="F39">
        <v>59.1</v>
      </c>
      <c r="G39">
        <v>18.3</v>
      </c>
      <c r="H39">
        <v>45.3</v>
      </c>
      <c r="I39">
        <v>52.1</v>
      </c>
      <c r="J39">
        <v>3.5</v>
      </c>
      <c r="K39">
        <v>18.7</v>
      </c>
      <c r="L39">
        <v>21.3</v>
      </c>
      <c r="M39">
        <v>41.9</v>
      </c>
      <c r="N39">
        <v>190.2</v>
      </c>
      <c r="O39">
        <v>59</v>
      </c>
      <c r="P39">
        <v>6.2</v>
      </c>
      <c r="Q39">
        <v>527.4</v>
      </c>
    </row>
    <row r="40" spans="1:17" x14ac:dyDescent="0.25">
      <c r="A40" t="s">
        <v>404</v>
      </c>
      <c r="B40" t="s">
        <v>411</v>
      </c>
      <c r="C40" t="s">
        <v>412</v>
      </c>
      <c r="D40" t="s">
        <v>413</v>
      </c>
      <c r="E40">
        <v>10.7</v>
      </c>
      <c r="F40">
        <v>53.5</v>
      </c>
      <c r="G40">
        <v>22.4</v>
      </c>
      <c r="H40">
        <v>39.799999999999997</v>
      </c>
      <c r="I40">
        <v>106.5</v>
      </c>
      <c r="J40">
        <v>9.1</v>
      </c>
      <c r="K40">
        <v>14.1</v>
      </c>
      <c r="L40">
        <v>15</v>
      </c>
      <c r="M40">
        <v>28.5</v>
      </c>
      <c r="N40">
        <v>226.8</v>
      </c>
      <c r="O40">
        <v>164.7</v>
      </c>
      <c r="P40">
        <v>8</v>
      </c>
      <c r="Q40">
        <v>699.1</v>
      </c>
    </row>
    <row r="41" spans="1:17" x14ac:dyDescent="0.25">
      <c r="A41" t="s">
        <v>404</v>
      </c>
      <c r="B41" t="s">
        <v>414</v>
      </c>
      <c r="C41" t="s">
        <v>415</v>
      </c>
      <c r="D41" t="s">
        <v>416</v>
      </c>
      <c r="E41">
        <v>9.6</v>
      </c>
      <c r="F41">
        <v>68.900000000000006</v>
      </c>
      <c r="G41">
        <v>27</v>
      </c>
      <c r="H41">
        <v>44.3</v>
      </c>
      <c r="I41">
        <v>50</v>
      </c>
      <c r="J41">
        <v>5.5</v>
      </c>
      <c r="K41">
        <v>12.8</v>
      </c>
      <c r="L41">
        <v>14.9</v>
      </c>
      <c r="M41">
        <v>61.5</v>
      </c>
      <c r="N41">
        <v>220.3</v>
      </c>
      <c r="O41">
        <v>52.8</v>
      </c>
      <c r="P41">
        <v>7.5</v>
      </c>
      <c r="Q41">
        <v>575.1</v>
      </c>
    </row>
    <row r="42" spans="1:17" x14ac:dyDescent="0.25">
      <c r="A42" t="s">
        <v>404</v>
      </c>
      <c r="B42" t="s">
        <v>417</v>
      </c>
      <c r="C42" t="s">
        <v>418</v>
      </c>
      <c r="D42" t="s">
        <v>419</v>
      </c>
      <c r="E42">
        <v>71.400000000000006</v>
      </c>
      <c r="F42">
        <v>67.7</v>
      </c>
      <c r="G42">
        <v>45</v>
      </c>
      <c r="H42">
        <v>158.1</v>
      </c>
      <c r="I42">
        <v>89.1</v>
      </c>
      <c r="J42">
        <v>51.8</v>
      </c>
      <c r="K42">
        <v>51.3</v>
      </c>
      <c r="L42">
        <v>50.7</v>
      </c>
      <c r="M42">
        <v>82.9</v>
      </c>
      <c r="N42">
        <v>462.4</v>
      </c>
      <c r="O42">
        <v>301.10000000000002</v>
      </c>
      <c r="P42">
        <v>51</v>
      </c>
      <c r="Q42">
        <v>1482.5</v>
      </c>
    </row>
    <row r="43" spans="1:17" x14ac:dyDescent="0.25">
      <c r="A43" t="s">
        <v>420</v>
      </c>
      <c r="B43" t="s">
        <v>421</v>
      </c>
      <c r="C43" t="s">
        <v>422</v>
      </c>
      <c r="D43" t="s">
        <v>423</v>
      </c>
      <c r="E43">
        <v>24.8</v>
      </c>
      <c r="F43">
        <v>64.599999999999994</v>
      </c>
      <c r="G43">
        <v>38.4</v>
      </c>
      <c r="H43">
        <v>118.2</v>
      </c>
      <c r="I43">
        <v>55.1</v>
      </c>
      <c r="J43">
        <v>47.7</v>
      </c>
      <c r="K43">
        <v>22.6</v>
      </c>
      <c r="L43">
        <v>18.5</v>
      </c>
      <c r="M43">
        <v>3.5</v>
      </c>
      <c r="N43">
        <v>221.9</v>
      </c>
      <c r="O43">
        <v>149.19999999999999</v>
      </c>
      <c r="P43">
        <v>11.6</v>
      </c>
      <c r="Q43">
        <v>776.1</v>
      </c>
    </row>
    <row r="44" spans="1:17" x14ac:dyDescent="0.25">
      <c r="A44" t="s">
        <v>420</v>
      </c>
      <c r="B44" t="s">
        <v>424</v>
      </c>
      <c r="C44" t="s">
        <v>425</v>
      </c>
      <c r="D44" t="s">
        <v>426</v>
      </c>
      <c r="E44">
        <v>35.200000000000003</v>
      </c>
      <c r="F44">
        <v>77</v>
      </c>
      <c r="G44">
        <v>47</v>
      </c>
      <c r="H44">
        <v>129.1</v>
      </c>
      <c r="I44">
        <v>61.4</v>
      </c>
      <c r="J44">
        <v>10.7</v>
      </c>
      <c r="K44">
        <v>51.2</v>
      </c>
      <c r="L44">
        <v>17.2</v>
      </c>
      <c r="M44">
        <v>5.6</v>
      </c>
      <c r="N44">
        <v>189.7</v>
      </c>
      <c r="O44">
        <v>327.3</v>
      </c>
      <c r="P44">
        <v>15</v>
      </c>
      <c r="Q44">
        <v>966.4</v>
      </c>
    </row>
    <row r="45" spans="1:17" x14ac:dyDescent="0.25">
      <c r="A45" t="s">
        <v>420</v>
      </c>
      <c r="B45" t="s">
        <v>427</v>
      </c>
      <c r="C45" t="s">
        <v>428</v>
      </c>
      <c r="D45" t="s">
        <v>429</v>
      </c>
      <c r="E45">
        <v>25.5</v>
      </c>
      <c r="F45">
        <v>72.3</v>
      </c>
      <c r="G45">
        <v>52.6</v>
      </c>
      <c r="H45">
        <v>86.4</v>
      </c>
      <c r="I45">
        <v>46.4</v>
      </c>
      <c r="J45">
        <v>17.899999999999999</v>
      </c>
      <c r="K45">
        <v>47.8</v>
      </c>
      <c r="L45">
        <v>23.4</v>
      </c>
      <c r="M45">
        <v>16.899999999999999</v>
      </c>
      <c r="N45">
        <v>158.9</v>
      </c>
      <c r="O45">
        <v>232.9</v>
      </c>
      <c r="P45">
        <v>14.7</v>
      </c>
      <c r="Q45">
        <v>795.7</v>
      </c>
    </row>
    <row r="46" spans="1:17" x14ac:dyDescent="0.25">
      <c r="A46" t="s">
        <v>420</v>
      </c>
      <c r="B46" t="s">
        <v>430</v>
      </c>
      <c r="C46" t="s">
        <v>431</v>
      </c>
      <c r="D46" t="s">
        <v>432</v>
      </c>
      <c r="E46">
        <v>31.2</v>
      </c>
      <c r="F46">
        <v>72.3</v>
      </c>
      <c r="G46">
        <v>44.1</v>
      </c>
      <c r="H46">
        <v>114.3</v>
      </c>
      <c r="I46">
        <v>46.6</v>
      </c>
      <c r="J46">
        <v>28.7</v>
      </c>
      <c r="K46">
        <v>60</v>
      </c>
      <c r="L46">
        <v>27.2</v>
      </c>
      <c r="M46">
        <v>11</v>
      </c>
      <c r="N46">
        <v>161</v>
      </c>
      <c r="O46">
        <v>293.7</v>
      </c>
      <c r="P46">
        <v>15.4</v>
      </c>
      <c r="Q46">
        <v>905.5</v>
      </c>
    </row>
    <row r="47" spans="1:17" x14ac:dyDescent="0.25">
      <c r="A47" t="s">
        <v>420</v>
      </c>
      <c r="B47" t="s">
        <v>433</v>
      </c>
      <c r="C47" t="s">
        <v>434</v>
      </c>
      <c r="D47" t="s">
        <v>435</v>
      </c>
      <c r="E47">
        <v>50</v>
      </c>
      <c r="F47">
        <v>71.599999999999994</v>
      </c>
      <c r="G47">
        <v>61.8</v>
      </c>
      <c r="H47">
        <v>71.5</v>
      </c>
      <c r="I47">
        <v>53.6</v>
      </c>
      <c r="J47">
        <v>24.7</v>
      </c>
      <c r="K47">
        <v>46.2</v>
      </c>
      <c r="L47">
        <v>15.6</v>
      </c>
      <c r="M47">
        <v>15</v>
      </c>
      <c r="N47">
        <v>161.6</v>
      </c>
      <c r="O47">
        <v>56.6</v>
      </c>
      <c r="P47">
        <v>27.2</v>
      </c>
      <c r="Q47">
        <v>655.4</v>
      </c>
    </row>
    <row r="48" spans="1:17" x14ac:dyDescent="0.25">
      <c r="A48" t="s">
        <v>436</v>
      </c>
      <c r="B48" t="s">
        <v>437</v>
      </c>
      <c r="C48" t="s">
        <v>438</v>
      </c>
      <c r="D48" t="s">
        <v>439</v>
      </c>
      <c r="E48">
        <v>52.2</v>
      </c>
      <c r="F48">
        <v>117</v>
      </c>
      <c r="G48">
        <v>89.8</v>
      </c>
      <c r="H48">
        <v>53.2</v>
      </c>
      <c r="I48">
        <v>36.9</v>
      </c>
      <c r="J48">
        <v>37.200000000000003</v>
      </c>
      <c r="K48">
        <v>9.4</v>
      </c>
      <c r="L48">
        <v>85</v>
      </c>
      <c r="M48">
        <v>87.1</v>
      </c>
      <c r="N48">
        <v>171.1</v>
      </c>
      <c r="O48">
        <v>132.5</v>
      </c>
      <c r="P48">
        <v>4.4000000000000004</v>
      </c>
      <c r="Q48">
        <v>875.8</v>
      </c>
    </row>
    <row r="49" spans="1:17" x14ac:dyDescent="0.25">
      <c r="A49" t="s">
        <v>436</v>
      </c>
      <c r="B49" t="s">
        <v>440</v>
      </c>
      <c r="C49" t="s">
        <v>441</v>
      </c>
      <c r="D49" t="s">
        <v>442</v>
      </c>
      <c r="E49">
        <v>46.9</v>
      </c>
      <c r="F49">
        <v>154</v>
      </c>
      <c r="G49">
        <v>64.900000000000006</v>
      </c>
      <c r="H49">
        <v>47.6</v>
      </c>
      <c r="I49">
        <v>25.9</v>
      </c>
      <c r="J49">
        <v>73.2</v>
      </c>
      <c r="K49">
        <v>6</v>
      </c>
      <c r="L49">
        <v>60.5</v>
      </c>
      <c r="M49">
        <v>115.6</v>
      </c>
      <c r="N49">
        <v>173.7</v>
      </c>
      <c r="O49">
        <v>96.3</v>
      </c>
      <c r="P49">
        <v>7</v>
      </c>
      <c r="Q49">
        <v>871.6</v>
      </c>
    </row>
    <row r="50" spans="1:17" x14ac:dyDescent="0.25">
      <c r="A50" t="s">
        <v>436</v>
      </c>
      <c r="B50" t="s">
        <v>443</v>
      </c>
      <c r="C50" t="s">
        <v>444</v>
      </c>
      <c r="D50" t="s">
        <v>445</v>
      </c>
      <c r="E50">
        <v>48.2</v>
      </c>
      <c r="F50">
        <v>96.4</v>
      </c>
      <c r="G50">
        <v>74.2</v>
      </c>
      <c r="H50">
        <v>39</v>
      </c>
      <c r="I50">
        <v>36.1</v>
      </c>
      <c r="J50">
        <v>32.6</v>
      </c>
      <c r="K50">
        <v>19</v>
      </c>
      <c r="L50">
        <v>85.4</v>
      </c>
      <c r="M50">
        <v>82.3</v>
      </c>
      <c r="N50">
        <v>184.6</v>
      </c>
      <c r="O50">
        <v>97.5</v>
      </c>
      <c r="P50">
        <v>4.5</v>
      </c>
      <c r="Q50">
        <v>799.8</v>
      </c>
    </row>
    <row r="51" spans="1:17" x14ac:dyDescent="0.25">
      <c r="A51" t="s">
        <v>436</v>
      </c>
      <c r="B51" t="s">
        <v>446</v>
      </c>
      <c r="C51" t="s">
        <v>447</v>
      </c>
      <c r="D51" t="s">
        <v>448</v>
      </c>
      <c r="E51">
        <v>101.5</v>
      </c>
      <c r="F51">
        <v>169.2</v>
      </c>
      <c r="G51">
        <v>93.9</v>
      </c>
      <c r="H51">
        <v>83.7</v>
      </c>
      <c r="I51">
        <v>31.6</v>
      </c>
      <c r="J51">
        <v>99.1</v>
      </c>
      <c r="K51">
        <v>20.2</v>
      </c>
      <c r="L51">
        <v>123.7</v>
      </c>
      <c r="M51">
        <v>56.9</v>
      </c>
      <c r="N51">
        <v>180.1</v>
      </c>
      <c r="O51">
        <v>174.2</v>
      </c>
      <c r="P51">
        <v>3.8</v>
      </c>
      <c r="Q51">
        <v>1137.9000000000001</v>
      </c>
    </row>
    <row r="52" spans="1:17" x14ac:dyDescent="0.25">
      <c r="A52" t="s">
        <v>436</v>
      </c>
      <c r="B52" t="s">
        <v>449</v>
      </c>
      <c r="C52" t="s">
        <v>450</v>
      </c>
      <c r="D52" t="s">
        <v>451</v>
      </c>
      <c r="E52">
        <v>48.6</v>
      </c>
      <c r="F52">
        <v>139.19999999999999</v>
      </c>
      <c r="G52">
        <v>63.2</v>
      </c>
      <c r="H52">
        <v>41.3</v>
      </c>
      <c r="I52">
        <v>41.4</v>
      </c>
      <c r="J52">
        <v>43.2</v>
      </c>
      <c r="K52">
        <v>5.9</v>
      </c>
      <c r="L52">
        <v>83.5</v>
      </c>
      <c r="M52">
        <v>47.5</v>
      </c>
      <c r="N52">
        <v>145.80000000000001</v>
      </c>
      <c r="O52">
        <v>176.9</v>
      </c>
      <c r="P52">
        <v>4.0999999999999996</v>
      </c>
      <c r="Q52">
        <v>840.6</v>
      </c>
    </row>
    <row r="53" spans="1:17" x14ac:dyDescent="0.25">
      <c r="A53" t="s">
        <v>452</v>
      </c>
      <c r="B53" t="s">
        <v>453</v>
      </c>
      <c r="C53" t="s">
        <v>454</v>
      </c>
      <c r="D53" t="s">
        <v>455</v>
      </c>
      <c r="E53">
        <v>43.5</v>
      </c>
      <c r="F53">
        <v>125.2</v>
      </c>
      <c r="G53">
        <v>44.1</v>
      </c>
      <c r="H53">
        <v>41.1</v>
      </c>
      <c r="I53">
        <v>14.3</v>
      </c>
      <c r="J53">
        <v>42.9</v>
      </c>
      <c r="K53">
        <v>2.4</v>
      </c>
      <c r="L53">
        <v>113.5</v>
      </c>
      <c r="M53">
        <v>108.3</v>
      </c>
      <c r="N53">
        <v>250.8</v>
      </c>
      <c r="O53">
        <v>69.599999999999994</v>
      </c>
      <c r="P53">
        <v>3.9</v>
      </c>
      <c r="Q53">
        <v>859.6</v>
      </c>
    </row>
    <row r="54" spans="1:17" x14ac:dyDescent="0.25">
      <c r="A54" t="s">
        <v>452</v>
      </c>
      <c r="B54" t="s">
        <v>456</v>
      </c>
      <c r="C54" t="s">
        <v>457</v>
      </c>
      <c r="D54" t="s">
        <v>458</v>
      </c>
      <c r="E54">
        <v>36.200000000000003</v>
      </c>
      <c r="F54">
        <v>118.1</v>
      </c>
      <c r="G54">
        <v>73.900000000000006</v>
      </c>
      <c r="H54">
        <v>103.6</v>
      </c>
      <c r="I54">
        <v>67.900000000000006</v>
      </c>
      <c r="J54">
        <v>38.5</v>
      </c>
      <c r="K54">
        <v>1.9</v>
      </c>
      <c r="L54">
        <v>76.3</v>
      </c>
      <c r="M54">
        <v>34.5</v>
      </c>
      <c r="N54">
        <v>328.6</v>
      </c>
      <c r="O54">
        <v>70.2</v>
      </c>
      <c r="P54">
        <v>6.1</v>
      </c>
      <c r="Q54">
        <v>955.8</v>
      </c>
    </row>
    <row r="55" spans="1:17" x14ac:dyDescent="0.25">
      <c r="A55" t="s">
        <v>452</v>
      </c>
      <c r="B55" t="s">
        <v>459</v>
      </c>
      <c r="C55" t="s">
        <v>460</v>
      </c>
      <c r="D55" t="s">
        <v>461</v>
      </c>
      <c r="E55">
        <v>26.7</v>
      </c>
      <c r="F55">
        <v>111.2</v>
      </c>
      <c r="G55">
        <v>42.5</v>
      </c>
      <c r="H55">
        <v>66.599999999999994</v>
      </c>
      <c r="I55">
        <v>19.2</v>
      </c>
      <c r="J55">
        <v>32.799999999999997</v>
      </c>
      <c r="K55">
        <v>28.4</v>
      </c>
      <c r="L55">
        <v>89.9</v>
      </c>
      <c r="M55">
        <v>96.8</v>
      </c>
      <c r="N55">
        <v>239.8</v>
      </c>
      <c r="O55">
        <v>71.900000000000006</v>
      </c>
      <c r="P55">
        <v>4.2</v>
      </c>
      <c r="Q55">
        <v>830</v>
      </c>
    </row>
    <row r="56" spans="1:17" x14ac:dyDescent="0.25">
      <c r="A56" t="s">
        <v>452</v>
      </c>
      <c r="B56" t="s">
        <v>462</v>
      </c>
      <c r="C56" t="s">
        <v>463</v>
      </c>
      <c r="D56" t="s">
        <v>464</v>
      </c>
      <c r="E56">
        <v>19.2</v>
      </c>
      <c r="F56">
        <v>98.6</v>
      </c>
      <c r="G56">
        <v>45.1</v>
      </c>
      <c r="H56">
        <v>76.099999999999994</v>
      </c>
      <c r="I56">
        <v>21.7</v>
      </c>
      <c r="J56">
        <v>47.8</v>
      </c>
      <c r="K56">
        <v>9</v>
      </c>
      <c r="L56">
        <v>60.5</v>
      </c>
      <c r="M56">
        <v>65.599999999999994</v>
      </c>
      <c r="N56">
        <v>247.8</v>
      </c>
      <c r="O56">
        <v>59.6</v>
      </c>
      <c r="P56">
        <v>4.5</v>
      </c>
      <c r="Q56">
        <v>755.5</v>
      </c>
    </row>
    <row r="57" spans="1:17" x14ac:dyDescent="0.25">
      <c r="A57" t="s">
        <v>465</v>
      </c>
      <c r="B57" t="s">
        <v>466</v>
      </c>
      <c r="C57" t="s">
        <v>467</v>
      </c>
      <c r="D57" t="s">
        <v>468</v>
      </c>
      <c r="E57">
        <v>71.7</v>
      </c>
      <c r="F57">
        <v>82.7</v>
      </c>
      <c r="G57">
        <v>75.8</v>
      </c>
      <c r="H57">
        <v>34.1</v>
      </c>
      <c r="I57">
        <v>40.799999999999997</v>
      </c>
      <c r="J57">
        <v>34</v>
      </c>
      <c r="K57">
        <v>57.1</v>
      </c>
      <c r="L57">
        <v>30.9</v>
      </c>
      <c r="M57">
        <v>116.2</v>
      </c>
      <c r="N57">
        <v>151.19999999999999</v>
      </c>
      <c r="O57">
        <v>108.6</v>
      </c>
      <c r="P57">
        <v>3.3</v>
      </c>
      <c r="Q57">
        <v>806.4</v>
      </c>
    </row>
    <row r="58" spans="1:17" x14ac:dyDescent="0.25">
      <c r="A58" t="s">
        <v>465</v>
      </c>
      <c r="B58" t="s">
        <v>469</v>
      </c>
      <c r="C58" t="s">
        <v>470</v>
      </c>
      <c r="D58" t="s">
        <v>471</v>
      </c>
      <c r="E58">
        <v>55.4</v>
      </c>
      <c r="F58">
        <v>89.6</v>
      </c>
      <c r="G58">
        <v>79.099999999999994</v>
      </c>
      <c r="H58">
        <v>48.6</v>
      </c>
      <c r="I58">
        <v>87.6</v>
      </c>
      <c r="J58">
        <v>12.9</v>
      </c>
      <c r="K58">
        <v>24.7</v>
      </c>
      <c r="L58">
        <v>96.2</v>
      </c>
      <c r="M58">
        <v>154.80000000000001</v>
      </c>
      <c r="N58">
        <v>187.9</v>
      </c>
      <c r="O58">
        <v>168.8</v>
      </c>
      <c r="P58">
        <v>4.5999999999999996</v>
      </c>
      <c r="Q58">
        <v>1010.2</v>
      </c>
    </row>
    <row r="59" spans="1:17" x14ac:dyDescent="0.25">
      <c r="A59" t="s">
        <v>465</v>
      </c>
      <c r="B59" t="s">
        <v>472</v>
      </c>
      <c r="C59" t="s">
        <v>473</v>
      </c>
      <c r="D59" t="s">
        <v>474</v>
      </c>
      <c r="E59">
        <v>62.5</v>
      </c>
      <c r="F59">
        <v>104</v>
      </c>
      <c r="G59">
        <v>113.5</v>
      </c>
      <c r="H59">
        <v>58.6</v>
      </c>
      <c r="I59">
        <v>53.6</v>
      </c>
      <c r="J59">
        <v>52.7</v>
      </c>
      <c r="K59">
        <v>51.4</v>
      </c>
      <c r="L59">
        <v>36.200000000000003</v>
      </c>
      <c r="M59">
        <v>43.6</v>
      </c>
      <c r="N59">
        <v>195.6</v>
      </c>
      <c r="O59">
        <v>207.6</v>
      </c>
      <c r="P59">
        <v>4.9000000000000004</v>
      </c>
      <c r="Q59">
        <v>984.2</v>
      </c>
    </row>
    <row r="60" spans="1:17" x14ac:dyDescent="0.25">
      <c r="A60" t="s">
        <v>465</v>
      </c>
      <c r="B60" t="s">
        <v>475</v>
      </c>
      <c r="C60" t="s">
        <v>476</v>
      </c>
      <c r="D60" t="s">
        <v>477</v>
      </c>
      <c r="E60">
        <v>55.6</v>
      </c>
      <c r="F60">
        <v>108.7</v>
      </c>
      <c r="G60">
        <v>104.3</v>
      </c>
      <c r="H60">
        <v>53.8</v>
      </c>
      <c r="I60">
        <v>41.8</v>
      </c>
      <c r="J60">
        <v>52.5</v>
      </c>
      <c r="K60">
        <v>12.4</v>
      </c>
      <c r="L60">
        <v>47.3</v>
      </c>
      <c r="M60">
        <v>93.9</v>
      </c>
      <c r="N60">
        <v>217.1</v>
      </c>
      <c r="O60">
        <v>128</v>
      </c>
      <c r="P60">
        <v>4.4000000000000004</v>
      </c>
      <c r="Q60">
        <v>919.8</v>
      </c>
    </row>
    <row r="61" spans="1:17" x14ac:dyDescent="0.25">
      <c r="A61" t="s">
        <v>478</v>
      </c>
      <c r="B61" t="s">
        <v>479</v>
      </c>
      <c r="C61" t="s">
        <v>480</v>
      </c>
      <c r="D61" t="s">
        <v>481</v>
      </c>
      <c r="E61">
        <v>74.599999999999994</v>
      </c>
      <c r="F61">
        <v>111.7</v>
      </c>
      <c r="G61">
        <v>85.2</v>
      </c>
      <c r="H61">
        <v>163.19999999999999</v>
      </c>
      <c r="I61">
        <v>152.6</v>
      </c>
      <c r="J61">
        <v>71.2</v>
      </c>
      <c r="K61">
        <v>133.69999999999999</v>
      </c>
      <c r="L61">
        <v>265.89999999999998</v>
      </c>
      <c r="M61">
        <v>72.2</v>
      </c>
      <c r="N61">
        <v>311.60000000000002</v>
      </c>
      <c r="O61">
        <v>88.6</v>
      </c>
      <c r="P61">
        <v>8.6</v>
      </c>
      <c r="Q61">
        <v>1539.1</v>
      </c>
    </row>
    <row r="62" spans="1:17" x14ac:dyDescent="0.25">
      <c r="A62" t="s">
        <v>478</v>
      </c>
      <c r="B62" t="s">
        <v>482</v>
      </c>
      <c r="C62" t="s">
        <v>483</v>
      </c>
      <c r="D62" t="s">
        <v>484</v>
      </c>
      <c r="E62">
        <v>119.1</v>
      </c>
      <c r="F62">
        <v>145.9</v>
      </c>
      <c r="G62">
        <v>124.9</v>
      </c>
      <c r="H62">
        <v>184.8</v>
      </c>
      <c r="I62">
        <v>220.7</v>
      </c>
      <c r="J62">
        <v>132.30000000000001</v>
      </c>
      <c r="K62">
        <v>106.8</v>
      </c>
      <c r="L62">
        <v>192.8</v>
      </c>
      <c r="M62">
        <v>108.9</v>
      </c>
      <c r="N62">
        <v>321.39999999999998</v>
      </c>
      <c r="O62">
        <v>97.1</v>
      </c>
      <c r="P62">
        <v>12.7</v>
      </c>
      <c r="Q62">
        <v>1767.4</v>
      </c>
    </row>
    <row r="63" spans="1:17" x14ac:dyDescent="0.25">
      <c r="A63" t="s">
        <v>478</v>
      </c>
      <c r="B63" t="s">
        <v>485</v>
      </c>
      <c r="C63" t="s">
        <v>486</v>
      </c>
      <c r="D63" t="s">
        <v>487</v>
      </c>
      <c r="E63">
        <v>86.8</v>
      </c>
      <c r="F63">
        <v>132.69999999999999</v>
      </c>
      <c r="G63">
        <v>70.900000000000006</v>
      </c>
      <c r="H63">
        <v>136.80000000000001</v>
      </c>
      <c r="I63">
        <v>169.6</v>
      </c>
      <c r="J63">
        <v>102.4</v>
      </c>
      <c r="K63">
        <v>122.6</v>
      </c>
      <c r="L63">
        <v>201.6</v>
      </c>
      <c r="M63">
        <v>44.1</v>
      </c>
      <c r="N63">
        <v>277.60000000000002</v>
      </c>
      <c r="O63">
        <v>95.9</v>
      </c>
      <c r="P63">
        <v>11.3</v>
      </c>
      <c r="Q63">
        <v>1452.3</v>
      </c>
    </row>
    <row r="64" spans="1:17" x14ac:dyDescent="0.25">
      <c r="A64" t="s">
        <v>478</v>
      </c>
      <c r="B64" t="s">
        <v>488</v>
      </c>
      <c r="C64" t="s">
        <v>489</v>
      </c>
      <c r="D64" t="s">
        <v>490</v>
      </c>
      <c r="E64">
        <v>92.6</v>
      </c>
      <c r="F64">
        <v>142.19999999999999</v>
      </c>
      <c r="G64">
        <v>59.2</v>
      </c>
      <c r="H64">
        <v>107.1</v>
      </c>
      <c r="I64">
        <v>189.1</v>
      </c>
      <c r="J64">
        <v>82.5</v>
      </c>
      <c r="K64">
        <v>73.599999999999994</v>
      </c>
      <c r="L64">
        <v>194.3</v>
      </c>
      <c r="M64">
        <v>79.099999999999994</v>
      </c>
      <c r="N64">
        <v>206.5</v>
      </c>
      <c r="O64">
        <v>71.5</v>
      </c>
      <c r="P64">
        <v>5.7</v>
      </c>
      <c r="Q64">
        <v>1303.4000000000001</v>
      </c>
    </row>
    <row r="65" spans="1:17" x14ac:dyDescent="0.25">
      <c r="A65" t="s">
        <v>478</v>
      </c>
      <c r="B65" t="s">
        <v>491</v>
      </c>
      <c r="C65" t="s">
        <v>492</v>
      </c>
      <c r="D65" t="s">
        <v>493</v>
      </c>
      <c r="E65">
        <v>95.9</v>
      </c>
      <c r="F65">
        <v>151.80000000000001</v>
      </c>
      <c r="G65">
        <v>86.8</v>
      </c>
      <c r="H65">
        <v>105.3</v>
      </c>
      <c r="I65">
        <v>128.5</v>
      </c>
      <c r="J65">
        <v>89</v>
      </c>
      <c r="K65">
        <v>57.4</v>
      </c>
      <c r="L65">
        <v>172.6</v>
      </c>
      <c r="M65">
        <v>71.599999999999994</v>
      </c>
      <c r="N65">
        <v>241.7</v>
      </c>
      <c r="O65">
        <v>86.2</v>
      </c>
      <c r="P65">
        <v>8.8000000000000007</v>
      </c>
      <c r="Q65">
        <v>1295.5999999999999</v>
      </c>
    </row>
    <row r="66" spans="1:17" x14ac:dyDescent="0.25">
      <c r="A66" t="s">
        <v>494</v>
      </c>
      <c r="B66" t="s">
        <v>495</v>
      </c>
      <c r="C66" t="s">
        <v>496</v>
      </c>
      <c r="D66" t="s">
        <v>497</v>
      </c>
      <c r="E66">
        <v>151.5</v>
      </c>
      <c r="F66">
        <v>153.6</v>
      </c>
      <c r="G66">
        <v>159.19999999999999</v>
      </c>
      <c r="H66">
        <v>206.7</v>
      </c>
      <c r="I66">
        <v>178</v>
      </c>
      <c r="J66">
        <v>144.19999999999999</v>
      </c>
      <c r="K66">
        <v>94.7</v>
      </c>
      <c r="L66">
        <v>219.3</v>
      </c>
      <c r="M66">
        <v>115.9</v>
      </c>
      <c r="N66">
        <v>345.7</v>
      </c>
      <c r="O66">
        <v>106.3</v>
      </c>
      <c r="P66">
        <v>11.5</v>
      </c>
      <c r="Q66">
        <v>1886.6</v>
      </c>
    </row>
    <row r="67" spans="1:17" x14ac:dyDescent="0.25">
      <c r="A67" t="s">
        <v>494</v>
      </c>
      <c r="B67" t="s">
        <v>498</v>
      </c>
      <c r="C67" t="s">
        <v>499</v>
      </c>
      <c r="D67" t="s">
        <v>500</v>
      </c>
      <c r="E67">
        <v>66.599999999999994</v>
      </c>
      <c r="F67">
        <v>65.3</v>
      </c>
      <c r="G67">
        <v>38</v>
      </c>
      <c r="H67">
        <v>109.4</v>
      </c>
      <c r="I67">
        <v>83.5</v>
      </c>
      <c r="J67">
        <v>81.8</v>
      </c>
      <c r="K67">
        <v>71.3</v>
      </c>
      <c r="L67">
        <v>85.7</v>
      </c>
      <c r="M67">
        <v>33.4</v>
      </c>
      <c r="N67">
        <v>177.7</v>
      </c>
      <c r="O67">
        <v>49.2</v>
      </c>
      <c r="P67">
        <v>7.9</v>
      </c>
      <c r="Q67">
        <v>869.8</v>
      </c>
    </row>
    <row r="68" spans="1:17" x14ac:dyDescent="0.25">
      <c r="A68" t="s">
        <v>494</v>
      </c>
      <c r="B68" t="s">
        <v>501</v>
      </c>
      <c r="C68" t="s">
        <v>502</v>
      </c>
      <c r="D68" t="s">
        <v>503</v>
      </c>
      <c r="E68">
        <v>146</v>
      </c>
      <c r="F68">
        <v>157.4</v>
      </c>
      <c r="G68">
        <v>89.8</v>
      </c>
      <c r="H68">
        <v>107.3</v>
      </c>
      <c r="I68">
        <v>142.5</v>
      </c>
      <c r="J68">
        <v>115.4</v>
      </c>
      <c r="K68">
        <v>133.5</v>
      </c>
      <c r="L68">
        <v>142.80000000000001</v>
      </c>
      <c r="M68">
        <v>99.9</v>
      </c>
      <c r="N68">
        <v>204.8</v>
      </c>
      <c r="O68">
        <v>71.900000000000006</v>
      </c>
      <c r="P68">
        <v>15.8</v>
      </c>
      <c r="Q68">
        <v>1427.1</v>
      </c>
    </row>
    <row r="69" spans="1:17" x14ac:dyDescent="0.25">
      <c r="A69" t="s">
        <v>494</v>
      </c>
      <c r="B69" t="s">
        <v>504</v>
      </c>
      <c r="C69" t="s">
        <v>505</v>
      </c>
      <c r="D69" t="s">
        <v>506</v>
      </c>
      <c r="E69">
        <v>69.7</v>
      </c>
      <c r="F69">
        <v>80</v>
      </c>
      <c r="G69">
        <v>43</v>
      </c>
      <c r="H69">
        <v>104.6</v>
      </c>
      <c r="I69">
        <v>107.7</v>
      </c>
      <c r="J69">
        <v>37.4</v>
      </c>
      <c r="K69">
        <v>75.2</v>
      </c>
      <c r="L69">
        <v>75.3</v>
      </c>
      <c r="M69">
        <v>44.6</v>
      </c>
      <c r="N69">
        <v>141.6</v>
      </c>
      <c r="O69">
        <v>39.9</v>
      </c>
      <c r="P69">
        <v>9.1999999999999993</v>
      </c>
      <c r="Q69">
        <v>828.2</v>
      </c>
    </row>
    <row r="70" spans="1:17" x14ac:dyDescent="0.25">
      <c r="A70" t="s">
        <v>507</v>
      </c>
      <c r="B70" t="s">
        <v>508</v>
      </c>
      <c r="C70" t="s">
        <v>509</v>
      </c>
      <c r="D70" t="s">
        <v>510</v>
      </c>
      <c r="E70">
        <v>22</v>
      </c>
      <c r="F70">
        <v>68.900000000000006</v>
      </c>
      <c r="G70">
        <v>65.400000000000006</v>
      </c>
      <c r="H70">
        <v>103.1</v>
      </c>
      <c r="I70">
        <v>93.5</v>
      </c>
      <c r="J70">
        <v>16.7</v>
      </c>
      <c r="K70">
        <v>5.3</v>
      </c>
      <c r="L70">
        <v>27.7</v>
      </c>
      <c r="M70">
        <v>23.2</v>
      </c>
      <c r="N70">
        <v>246.9</v>
      </c>
      <c r="O70">
        <v>117.9</v>
      </c>
      <c r="P70">
        <v>8.1999999999999993</v>
      </c>
      <c r="Q70">
        <v>798.8</v>
      </c>
    </row>
    <row r="71" spans="1:17" x14ac:dyDescent="0.25">
      <c r="A71" t="s">
        <v>507</v>
      </c>
      <c r="B71" t="s">
        <v>511</v>
      </c>
      <c r="C71" t="s">
        <v>512</v>
      </c>
      <c r="D71" t="s">
        <v>513</v>
      </c>
      <c r="E71">
        <v>33.299999999999997</v>
      </c>
      <c r="F71">
        <v>94.5</v>
      </c>
      <c r="G71">
        <v>48.8</v>
      </c>
      <c r="H71">
        <v>186.6</v>
      </c>
      <c r="I71">
        <v>108.6</v>
      </c>
      <c r="J71">
        <v>13.6</v>
      </c>
      <c r="K71">
        <v>3.6</v>
      </c>
      <c r="L71">
        <v>35.700000000000003</v>
      </c>
      <c r="M71">
        <v>9.3000000000000007</v>
      </c>
      <c r="N71">
        <v>212.9</v>
      </c>
      <c r="O71">
        <v>87</v>
      </c>
      <c r="P71">
        <v>9.6</v>
      </c>
      <c r="Q71">
        <v>843.5</v>
      </c>
    </row>
    <row r="72" spans="1:17" x14ac:dyDescent="0.25">
      <c r="A72" t="s">
        <v>507</v>
      </c>
      <c r="B72" t="s">
        <v>514</v>
      </c>
      <c r="C72" t="s">
        <v>515</v>
      </c>
      <c r="D72" t="s">
        <v>516</v>
      </c>
      <c r="E72">
        <v>46.8</v>
      </c>
      <c r="F72">
        <v>67.099999999999994</v>
      </c>
      <c r="G72">
        <v>84.3</v>
      </c>
      <c r="H72">
        <v>81.7</v>
      </c>
      <c r="I72">
        <v>71.599999999999994</v>
      </c>
      <c r="J72">
        <v>54.4</v>
      </c>
      <c r="K72">
        <v>5.9</v>
      </c>
      <c r="L72">
        <v>42.4</v>
      </c>
      <c r="M72">
        <v>10.1</v>
      </c>
      <c r="N72">
        <v>206</v>
      </c>
      <c r="O72">
        <v>63.4</v>
      </c>
      <c r="P72">
        <v>5.8</v>
      </c>
      <c r="Q72">
        <v>739.5</v>
      </c>
    </row>
    <row r="73" spans="1:17" x14ac:dyDescent="0.25">
      <c r="A73" t="s">
        <v>517</v>
      </c>
      <c r="B73" t="s">
        <v>518</v>
      </c>
      <c r="C73" t="s">
        <v>519</v>
      </c>
      <c r="D73" t="s">
        <v>520</v>
      </c>
      <c r="E73">
        <v>43</v>
      </c>
      <c r="F73">
        <v>139.6</v>
      </c>
      <c r="G73">
        <v>62.6</v>
      </c>
      <c r="H73">
        <v>75.5</v>
      </c>
      <c r="I73">
        <v>21.7</v>
      </c>
      <c r="J73">
        <v>56.4</v>
      </c>
      <c r="K73">
        <v>6.6</v>
      </c>
      <c r="L73">
        <v>67.900000000000006</v>
      </c>
      <c r="M73">
        <v>74.8</v>
      </c>
      <c r="N73">
        <v>222.4</v>
      </c>
      <c r="O73">
        <v>84.1</v>
      </c>
      <c r="P73">
        <v>4.5999999999999996</v>
      </c>
      <c r="Q73">
        <v>859.2</v>
      </c>
    </row>
    <row r="74" spans="1:17" x14ac:dyDescent="0.25">
      <c r="A74" t="s">
        <v>517</v>
      </c>
      <c r="B74" t="s">
        <v>521</v>
      </c>
      <c r="C74" t="s">
        <v>522</v>
      </c>
      <c r="D74" t="s">
        <v>523</v>
      </c>
      <c r="E74">
        <v>47.4</v>
      </c>
      <c r="F74">
        <v>131</v>
      </c>
      <c r="G74">
        <v>71.900000000000006</v>
      </c>
      <c r="H74">
        <v>66.400000000000006</v>
      </c>
      <c r="I74">
        <v>21.9</v>
      </c>
      <c r="J74">
        <v>119.4</v>
      </c>
      <c r="K74">
        <v>6.3</v>
      </c>
      <c r="L74">
        <v>67.900000000000006</v>
      </c>
      <c r="M74">
        <v>77.099999999999994</v>
      </c>
      <c r="N74">
        <v>235.4</v>
      </c>
      <c r="O74">
        <v>71.3</v>
      </c>
      <c r="P74">
        <v>4.9000000000000004</v>
      </c>
      <c r="Q74">
        <v>920.9</v>
      </c>
    </row>
    <row r="75" spans="1:17" x14ac:dyDescent="0.25">
      <c r="A75" t="s">
        <v>524</v>
      </c>
      <c r="B75" t="s">
        <v>525</v>
      </c>
      <c r="C75" t="s">
        <v>526</v>
      </c>
      <c r="D75" t="s">
        <v>527</v>
      </c>
      <c r="E75">
        <v>29.9</v>
      </c>
      <c r="F75">
        <v>42</v>
      </c>
      <c r="G75">
        <v>38.5</v>
      </c>
      <c r="H75">
        <v>48.3</v>
      </c>
      <c r="I75">
        <v>61.2</v>
      </c>
      <c r="J75">
        <v>10.5</v>
      </c>
      <c r="K75">
        <v>12</v>
      </c>
      <c r="L75">
        <v>19.8</v>
      </c>
      <c r="M75">
        <v>8.6999999999999993</v>
      </c>
      <c r="N75">
        <v>145.69999999999999</v>
      </c>
      <c r="O75">
        <v>98.3</v>
      </c>
      <c r="P75">
        <v>9.6999999999999993</v>
      </c>
      <c r="Q75">
        <v>524.6</v>
      </c>
    </row>
    <row r="76" spans="1:17" x14ac:dyDescent="0.25">
      <c r="A76" t="s">
        <v>524</v>
      </c>
      <c r="B76" t="s">
        <v>528</v>
      </c>
      <c r="C76" t="s">
        <v>529</v>
      </c>
      <c r="D76" t="s">
        <v>530</v>
      </c>
      <c r="E76">
        <v>37.4</v>
      </c>
      <c r="F76">
        <v>48.2</v>
      </c>
      <c r="G76">
        <v>41.6</v>
      </c>
      <c r="H76">
        <v>74.099999999999994</v>
      </c>
      <c r="I76">
        <v>55.8</v>
      </c>
      <c r="J76">
        <v>3</v>
      </c>
      <c r="K76">
        <v>30.6</v>
      </c>
      <c r="L76">
        <v>14.8</v>
      </c>
      <c r="M76">
        <v>15.5</v>
      </c>
      <c r="N76">
        <v>129.5</v>
      </c>
      <c r="O76">
        <v>68.8</v>
      </c>
      <c r="P76">
        <v>16</v>
      </c>
      <c r="Q76">
        <v>535.29999999999995</v>
      </c>
    </row>
    <row r="77" spans="1:17" x14ac:dyDescent="0.25">
      <c r="A77" t="s">
        <v>531</v>
      </c>
      <c r="B77" t="s">
        <v>532</v>
      </c>
      <c r="C77" t="s">
        <v>533</v>
      </c>
      <c r="D77" t="s">
        <v>534</v>
      </c>
      <c r="E77">
        <v>66.900000000000006</v>
      </c>
      <c r="F77">
        <v>152.4</v>
      </c>
      <c r="G77">
        <v>44.2</v>
      </c>
      <c r="H77">
        <v>161.9</v>
      </c>
      <c r="I77">
        <v>140.19999999999999</v>
      </c>
      <c r="J77">
        <v>69.5</v>
      </c>
      <c r="K77">
        <v>99.3</v>
      </c>
      <c r="L77">
        <v>65.400000000000006</v>
      </c>
      <c r="M77">
        <v>85.2</v>
      </c>
      <c r="N77">
        <v>230</v>
      </c>
      <c r="O77">
        <v>156.80000000000001</v>
      </c>
      <c r="P77">
        <v>7.5</v>
      </c>
      <c r="Q77">
        <v>1279.3</v>
      </c>
    </row>
    <row r="78" spans="1:17" x14ac:dyDescent="0.25">
      <c r="A78" t="s">
        <v>531</v>
      </c>
      <c r="B78" t="s">
        <v>535</v>
      </c>
      <c r="C78" t="s">
        <v>536</v>
      </c>
      <c r="D78" t="s">
        <v>537</v>
      </c>
      <c r="E78">
        <v>53.8</v>
      </c>
      <c r="F78">
        <v>137.9</v>
      </c>
      <c r="G78">
        <v>45.8</v>
      </c>
      <c r="H78">
        <v>160.5</v>
      </c>
      <c r="I78">
        <v>139.1</v>
      </c>
      <c r="J78">
        <v>83.4</v>
      </c>
      <c r="K78">
        <v>62.5</v>
      </c>
      <c r="L78">
        <v>64.5</v>
      </c>
      <c r="M78">
        <v>67</v>
      </c>
      <c r="N78">
        <v>209.5</v>
      </c>
      <c r="O78">
        <v>130</v>
      </c>
      <c r="P78">
        <v>6.8</v>
      </c>
      <c r="Q78">
        <v>1160.8</v>
      </c>
    </row>
    <row r="79" spans="1:17" x14ac:dyDescent="0.25">
      <c r="A79" t="s">
        <v>538</v>
      </c>
      <c r="B79" t="s">
        <v>539</v>
      </c>
      <c r="C79" t="s">
        <v>540</v>
      </c>
      <c r="D79" t="s">
        <v>541</v>
      </c>
      <c r="E79">
        <v>38.799999999999997</v>
      </c>
      <c r="F79">
        <v>61.5</v>
      </c>
      <c r="G79">
        <v>69.400000000000006</v>
      </c>
      <c r="H79">
        <v>135.1</v>
      </c>
      <c r="I79">
        <v>60.2</v>
      </c>
      <c r="J79">
        <v>27.5</v>
      </c>
      <c r="K79">
        <v>23.3</v>
      </c>
      <c r="L79">
        <v>67.3</v>
      </c>
      <c r="M79">
        <v>19</v>
      </c>
      <c r="N79">
        <v>155.6</v>
      </c>
      <c r="O79">
        <v>257.39999999999998</v>
      </c>
      <c r="P79">
        <v>19.100000000000001</v>
      </c>
      <c r="Q79">
        <v>934.2</v>
      </c>
    </row>
    <row r="80" spans="1:17" x14ac:dyDescent="0.25">
      <c r="A80" t="s">
        <v>538</v>
      </c>
      <c r="B80" t="s">
        <v>542</v>
      </c>
      <c r="C80" t="s">
        <v>543</v>
      </c>
      <c r="D80" t="s">
        <v>544</v>
      </c>
      <c r="E80">
        <v>32.4</v>
      </c>
      <c r="F80">
        <v>75.3</v>
      </c>
      <c r="G80">
        <v>49.9</v>
      </c>
      <c r="H80">
        <v>100.4</v>
      </c>
      <c r="I80">
        <v>78.8</v>
      </c>
      <c r="J80">
        <v>42.1</v>
      </c>
      <c r="K80">
        <v>70.5</v>
      </c>
      <c r="L80">
        <v>107.1</v>
      </c>
      <c r="M80">
        <v>7</v>
      </c>
      <c r="N80">
        <v>278.3</v>
      </c>
      <c r="O80">
        <v>141.1</v>
      </c>
      <c r="P80">
        <v>13.2</v>
      </c>
      <c r="Q80">
        <v>996.1</v>
      </c>
    </row>
    <row r="81" spans="1:17" x14ac:dyDescent="0.25">
      <c r="A81" t="s">
        <v>538</v>
      </c>
      <c r="B81" t="s">
        <v>545</v>
      </c>
      <c r="C81" t="s">
        <v>546</v>
      </c>
      <c r="D81" t="s">
        <v>547</v>
      </c>
      <c r="E81">
        <v>33.5</v>
      </c>
      <c r="F81">
        <v>78</v>
      </c>
      <c r="G81">
        <v>44.9</v>
      </c>
      <c r="H81">
        <v>133.9</v>
      </c>
      <c r="I81">
        <v>93.8</v>
      </c>
      <c r="J81">
        <v>39.799999999999997</v>
      </c>
      <c r="K81">
        <v>94.7</v>
      </c>
      <c r="L81">
        <v>100.3</v>
      </c>
      <c r="M81">
        <v>37.4</v>
      </c>
      <c r="N81">
        <v>214.1</v>
      </c>
      <c r="O81">
        <v>135.4</v>
      </c>
      <c r="P81">
        <v>13</v>
      </c>
      <c r="Q81">
        <v>1018.8</v>
      </c>
    </row>
    <row r="82" spans="1:17" x14ac:dyDescent="0.25">
      <c r="A82" t="s">
        <v>548</v>
      </c>
      <c r="B82" t="s">
        <v>549</v>
      </c>
      <c r="C82" t="s">
        <v>550</v>
      </c>
      <c r="D82" t="s">
        <v>551</v>
      </c>
      <c r="E82">
        <v>73</v>
      </c>
      <c r="F82">
        <v>71.400000000000006</v>
      </c>
      <c r="G82">
        <v>63.5</v>
      </c>
      <c r="H82">
        <v>75.7</v>
      </c>
      <c r="I82">
        <v>88.5</v>
      </c>
      <c r="J82">
        <v>50.2</v>
      </c>
      <c r="K82">
        <v>33.799999999999997</v>
      </c>
      <c r="L82">
        <v>73.099999999999994</v>
      </c>
      <c r="M82">
        <v>78.099999999999994</v>
      </c>
      <c r="N82">
        <v>216.2</v>
      </c>
      <c r="O82">
        <v>97.9</v>
      </c>
      <c r="P82">
        <v>2.1</v>
      </c>
      <c r="Q82">
        <v>923.5</v>
      </c>
    </row>
    <row r="83" spans="1:17" x14ac:dyDescent="0.25">
      <c r="A83" t="s">
        <v>548</v>
      </c>
      <c r="B83" t="s">
        <v>552</v>
      </c>
      <c r="C83" t="s">
        <v>553</v>
      </c>
      <c r="D83" t="s">
        <v>554</v>
      </c>
      <c r="E83">
        <v>86.1</v>
      </c>
      <c r="F83">
        <v>92.6</v>
      </c>
      <c r="G83">
        <v>58.9</v>
      </c>
      <c r="H83">
        <v>104.6</v>
      </c>
      <c r="I83">
        <v>66.099999999999994</v>
      </c>
      <c r="J83">
        <v>15.7</v>
      </c>
      <c r="K83">
        <v>15.2</v>
      </c>
      <c r="L83">
        <v>44.6</v>
      </c>
      <c r="M83">
        <v>54</v>
      </c>
      <c r="N83">
        <v>293.8</v>
      </c>
      <c r="O83">
        <v>160.80000000000001</v>
      </c>
      <c r="P83">
        <v>5</v>
      </c>
      <c r="Q83">
        <v>997.4</v>
      </c>
    </row>
    <row r="84" spans="1:17" x14ac:dyDescent="0.25">
      <c r="A84" t="s">
        <v>548</v>
      </c>
      <c r="B84" t="s">
        <v>555</v>
      </c>
      <c r="C84" t="s">
        <v>556</v>
      </c>
      <c r="D84" t="s">
        <v>557</v>
      </c>
      <c r="E84">
        <v>28</v>
      </c>
      <c r="F84">
        <v>64.599999999999994</v>
      </c>
      <c r="G84">
        <v>28.6</v>
      </c>
      <c r="H84">
        <v>64.099999999999994</v>
      </c>
      <c r="I84">
        <v>65.599999999999994</v>
      </c>
      <c r="J84">
        <v>35</v>
      </c>
      <c r="K84">
        <v>12</v>
      </c>
      <c r="L84">
        <v>24.7</v>
      </c>
      <c r="M84">
        <v>20.5</v>
      </c>
      <c r="N84">
        <v>154</v>
      </c>
      <c r="O84">
        <v>223.4</v>
      </c>
      <c r="P84">
        <v>6.5</v>
      </c>
      <c r="Q84">
        <v>727</v>
      </c>
    </row>
    <row r="85" spans="1:17" x14ac:dyDescent="0.25">
      <c r="A85" t="s">
        <v>558</v>
      </c>
      <c r="B85" t="s">
        <v>559</v>
      </c>
      <c r="C85" t="s">
        <v>560</v>
      </c>
      <c r="D85" t="s">
        <v>561</v>
      </c>
      <c r="E85">
        <v>14.5</v>
      </c>
      <c r="F85">
        <v>51.2</v>
      </c>
      <c r="G85">
        <v>18.100000000000001</v>
      </c>
      <c r="H85">
        <v>38.299999999999997</v>
      </c>
      <c r="I85">
        <v>28.2</v>
      </c>
      <c r="J85">
        <v>66.8</v>
      </c>
      <c r="K85">
        <v>9.8000000000000007</v>
      </c>
      <c r="L85">
        <v>22.9</v>
      </c>
      <c r="M85">
        <v>72.2</v>
      </c>
      <c r="N85">
        <v>340.1</v>
      </c>
      <c r="O85">
        <v>94.9</v>
      </c>
      <c r="P85">
        <v>10.3</v>
      </c>
      <c r="Q85">
        <v>767.3</v>
      </c>
    </row>
    <row r="86" spans="1:17" x14ac:dyDescent="0.25">
      <c r="A86" t="s">
        <v>558</v>
      </c>
      <c r="B86" t="s">
        <v>562</v>
      </c>
      <c r="C86" t="s">
        <v>563</v>
      </c>
      <c r="D86" t="s">
        <v>564</v>
      </c>
      <c r="E86">
        <v>7.8</v>
      </c>
      <c r="F86">
        <v>49.7</v>
      </c>
      <c r="G86">
        <v>15.8</v>
      </c>
      <c r="H86">
        <v>40.5</v>
      </c>
      <c r="I86">
        <v>35.4</v>
      </c>
      <c r="J86">
        <v>15.8</v>
      </c>
      <c r="K86">
        <v>11.9</v>
      </c>
      <c r="L86">
        <v>23.7</v>
      </c>
      <c r="M86">
        <v>67.5</v>
      </c>
      <c r="N86">
        <v>198.6</v>
      </c>
      <c r="O86">
        <v>91.6</v>
      </c>
      <c r="P86">
        <v>6.2</v>
      </c>
      <c r="Q86">
        <v>564.5</v>
      </c>
    </row>
    <row r="87" spans="1:17" x14ac:dyDescent="0.25">
      <c r="A87" t="s">
        <v>558</v>
      </c>
      <c r="B87" t="s">
        <v>565</v>
      </c>
      <c r="C87" t="s">
        <v>566</v>
      </c>
      <c r="D87" t="s">
        <v>567</v>
      </c>
      <c r="E87">
        <v>12.2</v>
      </c>
      <c r="F87">
        <v>59</v>
      </c>
      <c r="G87">
        <v>15.3</v>
      </c>
      <c r="H87">
        <v>31.8</v>
      </c>
      <c r="I87">
        <v>11.7</v>
      </c>
      <c r="J87">
        <v>43.2</v>
      </c>
      <c r="K87">
        <v>6.4</v>
      </c>
      <c r="L87">
        <v>16.8</v>
      </c>
      <c r="M87">
        <v>73.5</v>
      </c>
      <c r="N87">
        <v>258</v>
      </c>
      <c r="O87">
        <v>44</v>
      </c>
      <c r="P87">
        <v>5.7</v>
      </c>
      <c r="Q87">
        <v>577.6</v>
      </c>
    </row>
    <row r="88" spans="1:17" x14ac:dyDescent="0.25">
      <c r="A88" t="s">
        <v>558</v>
      </c>
      <c r="B88" t="s">
        <v>568</v>
      </c>
      <c r="C88" t="s">
        <v>569</v>
      </c>
      <c r="D88" t="s">
        <v>570</v>
      </c>
      <c r="E88">
        <v>15</v>
      </c>
      <c r="F88">
        <v>89.4</v>
      </c>
      <c r="G88">
        <v>13.5</v>
      </c>
      <c r="H88">
        <v>15.5</v>
      </c>
      <c r="I88">
        <v>18</v>
      </c>
      <c r="J88">
        <v>26.5</v>
      </c>
      <c r="K88">
        <v>10.7</v>
      </c>
      <c r="L88">
        <v>36.700000000000003</v>
      </c>
      <c r="M88">
        <v>83</v>
      </c>
      <c r="N88">
        <v>158.1</v>
      </c>
      <c r="O88">
        <v>47.9</v>
      </c>
      <c r="P88">
        <v>4.5999999999999996</v>
      </c>
      <c r="Q88">
        <v>518.9</v>
      </c>
    </row>
    <row r="89" spans="1:17" x14ac:dyDescent="0.25">
      <c r="A89" t="s">
        <v>558</v>
      </c>
      <c r="B89" t="s">
        <v>571</v>
      </c>
      <c r="C89" t="s">
        <v>572</v>
      </c>
      <c r="D89" t="s">
        <v>573</v>
      </c>
      <c r="E89">
        <v>12.6</v>
      </c>
      <c r="F89">
        <v>48.8</v>
      </c>
      <c r="G89">
        <v>22.5</v>
      </c>
      <c r="H89">
        <v>61.7</v>
      </c>
      <c r="I89">
        <v>41</v>
      </c>
      <c r="J89">
        <v>46.1</v>
      </c>
      <c r="K89">
        <v>38.4</v>
      </c>
      <c r="L89">
        <v>20.100000000000001</v>
      </c>
      <c r="M89">
        <v>81.599999999999994</v>
      </c>
      <c r="N89">
        <v>298.5</v>
      </c>
      <c r="O89">
        <v>226.5</v>
      </c>
      <c r="P89">
        <v>7.6</v>
      </c>
      <c r="Q89">
        <v>905.4</v>
      </c>
    </row>
    <row r="90" spans="1:17" x14ac:dyDescent="0.25">
      <c r="A90" t="s">
        <v>558</v>
      </c>
      <c r="B90" t="s">
        <v>574</v>
      </c>
      <c r="C90" t="s">
        <v>575</v>
      </c>
      <c r="D90" t="s">
        <v>576</v>
      </c>
      <c r="E90">
        <v>11.8</v>
      </c>
      <c r="F90">
        <v>39.5</v>
      </c>
      <c r="G90">
        <v>18.899999999999999</v>
      </c>
      <c r="H90">
        <v>52.3</v>
      </c>
      <c r="I90">
        <v>44.3</v>
      </c>
      <c r="J90">
        <v>45</v>
      </c>
      <c r="K90">
        <v>23.7</v>
      </c>
      <c r="L90">
        <v>27.4</v>
      </c>
      <c r="M90">
        <v>102.4</v>
      </c>
      <c r="N90">
        <v>287.39999999999998</v>
      </c>
      <c r="O90">
        <v>192.1</v>
      </c>
      <c r="P90">
        <v>8.8000000000000007</v>
      </c>
      <c r="Q90">
        <v>853.6</v>
      </c>
    </row>
    <row r="91" spans="1:17" x14ac:dyDescent="0.25">
      <c r="A91" t="s">
        <v>577</v>
      </c>
      <c r="B91" t="s">
        <v>578</v>
      </c>
      <c r="C91" t="s">
        <v>579</v>
      </c>
      <c r="D91" t="s">
        <v>580</v>
      </c>
      <c r="E91">
        <v>27.8</v>
      </c>
      <c r="F91">
        <v>35.299999999999997</v>
      </c>
      <c r="G91">
        <v>48.4</v>
      </c>
      <c r="H91">
        <v>82.5</v>
      </c>
      <c r="I91">
        <v>72.099999999999994</v>
      </c>
      <c r="J91">
        <v>8.6</v>
      </c>
      <c r="K91">
        <v>8.5</v>
      </c>
      <c r="L91">
        <v>22.7</v>
      </c>
      <c r="M91">
        <v>1.2</v>
      </c>
      <c r="N91">
        <v>135.1</v>
      </c>
      <c r="O91">
        <v>74.5</v>
      </c>
      <c r="P91">
        <v>14.4</v>
      </c>
      <c r="Q91">
        <v>531.1</v>
      </c>
    </row>
    <row r="92" spans="1:17" x14ac:dyDescent="0.25">
      <c r="A92" t="s">
        <v>577</v>
      </c>
      <c r="B92" t="s">
        <v>581</v>
      </c>
      <c r="C92" t="s">
        <v>582</v>
      </c>
      <c r="D92" t="s">
        <v>583</v>
      </c>
      <c r="E92">
        <v>31</v>
      </c>
      <c r="F92">
        <v>35.1</v>
      </c>
      <c r="G92">
        <v>48.2</v>
      </c>
      <c r="H92">
        <v>78.599999999999994</v>
      </c>
      <c r="I92">
        <v>83</v>
      </c>
      <c r="J92">
        <v>9.6999999999999993</v>
      </c>
      <c r="K92">
        <v>16.5</v>
      </c>
      <c r="L92">
        <v>20.6</v>
      </c>
      <c r="M92">
        <v>0.3</v>
      </c>
      <c r="N92">
        <v>130.1</v>
      </c>
      <c r="O92">
        <v>69.5</v>
      </c>
      <c r="P92">
        <v>13.4</v>
      </c>
      <c r="Q92">
        <v>536</v>
      </c>
    </row>
    <row r="93" spans="1:17" x14ac:dyDescent="0.25">
      <c r="A93" t="s">
        <v>577</v>
      </c>
      <c r="B93" t="s">
        <v>584</v>
      </c>
      <c r="C93" t="s">
        <v>585</v>
      </c>
      <c r="D93" t="s">
        <v>586</v>
      </c>
      <c r="E93">
        <v>33.200000000000003</v>
      </c>
      <c r="F93">
        <v>98.1</v>
      </c>
      <c r="G93">
        <v>77.099999999999994</v>
      </c>
      <c r="H93">
        <v>121.7</v>
      </c>
      <c r="I93">
        <v>129.6</v>
      </c>
      <c r="J93">
        <v>13</v>
      </c>
      <c r="K93">
        <v>10.5</v>
      </c>
      <c r="L93">
        <v>76.8</v>
      </c>
      <c r="M93">
        <v>12.9</v>
      </c>
      <c r="N93">
        <v>118.4</v>
      </c>
      <c r="O93">
        <v>84.5</v>
      </c>
      <c r="P93">
        <v>9.3000000000000007</v>
      </c>
      <c r="Q93">
        <v>785.1</v>
      </c>
    </row>
    <row r="94" spans="1:17" x14ac:dyDescent="0.25">
      <c r="A94" t="s">
        <v>577</v>
      </c>
      <c r="B94" t="s">
        <v>587</v>
      </c>
      <c r="C94" t="s">
        <v>588</v>
      </c>
      <c r="D94" t="s">
        <v>589</v>
      </c>
      <c r="E94">
        <v>33.299999999999997</v>
      </c>
      <c r="F94">
        <v>75.400000000000006</v>
      </c>
      <c r="G94">
        <v>63.7</v>
      </c>
      <c r="H94">
        <v>117.5</v>
      </c>
      <c r="I94">
        <v>138.80000000000001</v>
      </c>
      <c r="J94">
        <v>20.399999999999999</v>
      </c>
      <c r="K94">
        <v>7.9</v>
      </c>
      <c r="L94">
        <v>31.7</v>
      </c>
      <c r="M94">
        <v>7.2</v>
      </c>
      <c r="N94">
        <v>168.6</v>
      </c>
      <c r="O94">
        <v>70.8</v>
      </c>
      <c r="P94">
        <v>11.5</v>
      </c>
      <c r="Q94">
        <v>746.8</v>
      </c>
    </row>
    <row r="95" spans="1:17" x14ac:dyDescent="0.25">
      <c r="A95" t="s">
        <v>577</v>
      </c>
      <c r="B95" t="s">
        <v>590</v>
      </c>
      <c r="C95" t="s">
        <v>591</v>
      </c>
      <c r="D95" t="s">
        <v>592</v>
      </c>
      <c r="E95">
        <v>30.8</v>
      </c>
      <c r="F95">
        <v>80.8</v>
      </c>
      <c r="G95">
        <v>71.2</v>
      </c>
      <c r="H95">
        <v>104.9</v>
      </c>
      <c r="I95">
        <v>95</v>
      </c>
      <c r="J95">
        <v>11.8</v>
      </c>
      <c r="K95">
        <v>7.8</v>
      </c>
      <c r="L95">
        <v>43.5</v>
      </c>
      <c r="M95">
        <v>5.3</v>
      </c>
      <c r="N95">
        <v>107.7</v>
      </c>
      <c r="O95">
        <v>91.7</v>
      </c>
      <c r="P95">
        <v>11.9</v>
      </c>
      <c r="Q95">
        <v>662.4</v>
      </c>
    </row>
    <row r="96" spans="1:17" x14ac:dyDescent="0.25">
      <c r="A96" t="s">
        <v>577</v>
      </c>
      <c r="B96" t="s">
        <v>593</v>
      </c>
      <c r="C96" t="s">
        <v>594</v>
      </c>
      <c r="D96" t="s">
        <v>595</v>
      </c>
      <c r="E96">
        <v>36.9</v>
      </c>
      <c r="F96">
        <v>97.2</v>
      </c>
      <c r="G96">
        <v>71.7</v>
      </c>
      <c r="H96">
        <v>124.6</v>
      </c>
      <c r="I96">
        <v>159.1</v>
      </c>
      <c r="J96">
        <v>34.5</v>
      </c>
      <c r="K96">
        <v>9.4</v>
      </c>
      <c r="L96">
        <v>52.7</v>
      </c>
      <c r="M96">
        <v>2.4</v>
      </c>
      <c r="N96">
        <v>170.1</v>
      </c>
      <c r="O96">
        <v>74.8</v>
      </c>
      <c r="P96">
        <v>13.9</v>
      </c>
      <c r="Q96">
        <v>847.3</v>
      </c>
    </row>
    <row r="97" spans="1:17" x14ac:dyDescent="0.25">
      <c r="A97" t="s">
        <v>577</v>
      </c>
      <c r="B97" t="s">
        <v>596</v>
      </c>
      <c r="C97" t="s">
        <v>597</v>
      </c>
      <c r="D97" t="s">
        <v>598</v>
      </c>
      <c r="E97">
        <v>29.4</v>
      </c>
      <c r="F97">
        <v>56.6</v>
      </c>
      <c r="G97">
        <v>55.4</v>
      </c>
      <c r="H97">
        <v>105.1</v>
      </c>
      <c r="I97">
        <v>101.7</v>
      </c>
      <c r="J97">
        <v>13.3</v>
      </c>
      <c r="K97">
        <v>4.4000000000000004</v>
      </c>
      <c r="L97">
        <v>10.7</v>
      </c>
      <c r="M97">
        <v>0.3</v>
      </c>
      <c r="N97">
        <v>130.19999999999999</v>
      </c>
      <c r="O97">
        <v>54.6</v>
      </c>
      <c r="P97">
        <v>12.6</v>
      </c>
      <c r="Q97">
        <v>574.29999999999995</v>
      </c>
    </row>
    <row r="98" spans="1:17" x14ac:dyDescent="0.25">
      <c r="A98" t="s">
        <v>577</v>
      </c>
      <c r="B98" t="s">
        <v>599</v>
      </c>
      <c r="C98" t="s">
        <v>600</v>
      </c>
      <c r="D98" t="s">
        <v>601</v>
      </c>
      <c r="E98">
        <v>45.7</v>
      </c>
      <c r="F98">
        <v>158.80000000000001</v>
      </c>
      <c r="G98">
        <v>113.9</v>
      </c>
      <c r="H98">
        <v>166.6</v>
      </c>
      <c r="I98">
        <v>194.5</v>
      </c>
      <c r="J98">
        <v>66.8</v>
      </c>
      <c r="K98">
        <v>18.399999999999999</v>
      </c>
      <c r="L98">
        <v>117.9</v>
      </c>
      <c r="M98">
        <v>13.6</v>
      </c>
      <c r="N98">
        <v>152.19999999999999</v>
      </c>
      <c r="O98">
        <v>107.5</v>
      </c>
      <c r="P98">
        <v>7.7</v>
      </c>
      <c r="Q98">
        <v>1163.5999999999999</v>
      </c>
    </row>
    <row r="99" spans="1:17" x14ac:dyDescent="0.25">
      <c r="A99" t="s">
        <v>602</v>
      </c>
      <c r="B99" t="s">
        <v>603</v>
      </c>
      <c r="C99" t="s">
        <v>604</v>
      </c>
      <c r="D99" t="s">
        <v>605</v>
      </c>
      <c r="E99">
        <v>63.8</v>
      </c>
      <c r="F99">
        <v>106.2</v>
      </c>
      <c r="G99">
        <v>39.6</v>
      </c>
      <c r="H99">
        <v>82.2</v>
      </c>
      <c r="I99">
        <v>152.30000000000001</v>
      </c>
      <c r="J99">
        <v>87.3</v>
      </c>
      <c r="K99">
        <v>54.9</v>
      </c>
      <c r="L99">
        <v>249.8</v>
      </c>
      <c r="M99">
        <v>68.3</v>
      </c>
      <c r="N99">
        <v>201.2</v>
      </c>
      <c r="O99">
        <v>78.8</v>
      </c>
      <c r="P99">
        <v>8.4</v>
      </c>
      <c r="Q99">
        <v>1192.8</v>
      </c>
    </row>
    <row r="100" spans="1:17" x14ac:dyDescent="0.25">
      <c r="A100" t="s">
        <v>602</v>
      </c>
      <c r="B100" t="s">
        <v>606</v>
      </c>
      <c r="C100" t="s">
        <v>607</v>
      </c>
      <c r="D100" t="s">
        <v>608</v>
      </c>
      <c r="E100">
        <v>82.2</v>
      </c>
      <c r="F100">
        <v>131.1</v>
      </c>
      <c r="G100">
        <v>44.5</v>
      </c>
      <c r="H100">
        <v>119.6</v>
      </c>
      <c r="I100">
        <v>154.5</v>
      </c>
      <c r="J100">
        <v>84.8</v>
      </c>
      <c r="K100">
        <v>87.9</v>
      </c>
      <c r="L100">
        <v>201.5</v>
      </c>
      <c r="M100">
        <v>82.9</v>
      </c>
      <c r="N100">
        <v>226.2</v>
      </c>
      <c r="O100">
        <v>89.2</v>
      </c>
      <c r="P100">
        <v>6.1</v>
      </c>
      <c r="Q100">
        <v>1310.5</v>
      </c>
    </row>
    <row r="101" spans="1:17" x14ac:dyDescent="0.25">
      <c r="A101" t="s">
        <v>602</v>
      </c>
      <c r="B101" t="s">
        <v>609</v>
      </c>
      <c r="C101" t="s">
        <v>610</v>
      </c>
      <c r="D101" t="s">
        <v>611</v>
      </c>
      <c r="E101">
        <v>80.8</v>
      </c>
      <c r="F101">
        <v>125.2</v>
      </c>
      <c r="G101">
        <v>66.599999999999994</v>
      </c>
      <c r="H101">
        <v>110.8</v>
      </c>
      <c r="I101">
        <v>135.4</v>
      </c>
      <c r="J101">
        <v>57.9</v>
      </c>
      <c r="K101">
        <v>41.8</v>
      </c>
      <c r="L101">
        <v>112</v>
      </c>
      <c r="M101">
        <v>10.8</v>
      </c>
      <c r="N101">
        <v>246</v>
      </c>
      <c r="O101">
        <v>83.6</v>
      </c>
      <c r="P101">
        <v>6.9</v>
      </c>
      <c r="Q101">
        <v>1077.8</v>
      </c>
    </row>
    <row r="102" spans="1:17" x14ac:dyDescent="0.25">
      <c r="A102" t="s">
        <v>602</v>
      </c>
      <c r="B102" t="s">
        <v>612</v>
      </c>
      <c r="C102" t="s">
        <v>613</v>
      </c>
      <c r="D102" t="s">
        <v>614</v>
      </c>
      <c r="E102">
        <v>64.099999999999994</v>
      </c>
      <c r="F102">
        <v>123.3</v>
      </c>
      <c r="G102">
        <v>42.7</v>
      </c>
      <c r="H102">
        <v>109.4</v>
      </c>
      <c r="I102">
        <v>132</v>
      </c>
      <c r="J102">
        <v>69.099999999999994</v>
      </c>
      <c r="K102">
        <v>91.8</v>
      </c>
      <c r="L102">
        <v>198.4</v>
      </c>
      <c r="M102">
        <v>190.8</v>
      </c>
      <c r="N102">
        <v>231.1</v>
      </c>
      <c r="O102">
        <v>81.3</v>
      </c>
      <c r="P102">
        <v>6.3</v>
      </c>
      <c r="Q102">
        <v>1340.3</v>
      </c>
    </row>
    <row r="103" spans="1:17" x14ac:dyDescent="0.25">
      <c r="A103" t="s">
        <v>602</v>
      </c>
      <c r="B103" t="s">
        <v>615</v>
      </c>
      <c r="C103" t="s">
        <v>616</v>
      </c>
      <c r="D103" t="s">
        <v>617</v>
      </c>
      <c r="E103">
        <v>56.9</v>
      </c>
      <c r="F103">
        <v>108.5</v>
      </c>
      <c r="G103">
        <v>31.4</v>
      </c>
      <c r="H103">
        <v>93.1</v>
      </c>
      <c r="I103">
        <v>141</v>
      </c>
      <c r="J103">
        <v>41</v>
      </c>
      <c r="K103">
        <v>79.599999999999994</v>
      </c>
      <c r="L103">
        <v>142</v>
      </c>
      <c r="M103">
        <v>51.9</v>
      </c>
      <c r="N103">
        <v>222.7</v>
      </c>
      <c r="O103">
        <v>103.3</v>
      </c>
      <c r="P103">
        <v>8.4</v>
      </c>
      <c r="Q103">
        <v>1079.8</v>
      </c>
    </row>
    <row r="104" spans="1:17" x14ac:dyDescent="0.25">
      <c r="A104" t="s">
        <v>602</v>
      </c>
      <c r="B104" t="s">
        <v>618</v>
      </c>
      <c r="C104" t="s">
        <v>619</v>
      </c>
      <c r="D104" t="s">
        <v>620</v>
      </c>
      <c r="E104">
        <v>73.599999999999994</v>
      </c>
      <c r="F104">
        <v>92</v>
      </c>
      <c r="G104">
        <v>45.6</v>
      </c>
      <c r="H104">
        <v>131</v>
      </c>
      <c r="I104">
        <v>89</v>
      </c>
      <c r="J104">
        <v>65.2</v>
      </c>
      <c r="K104">
        <v>92.8</v>
      </c>
      <c r="L104">
        <v>156.30000000000001</v>
      </c>
      <c r="M104">
        <v>57.1</v>
      </c>
      <c r="N104">
        <v>180.8</v>
      </c>
      <c r="O104">
        <v>69.599999999999994</v>
      </c>
      <c r="P104">
        <v>7.9</v>
      </c>
      <c r="Q104">
        <v>1060.9000000000001</v>
      </c>
    </row>
    <row r="105" spans="1:17" x14ac:dyDescent="0.25">
      <c r="A105" t="s">
        <v>602</v>
      </c>
      <c r="B105" t="s">
        <v>621</v>
      </c>
      <c r="C105" t="s">
        <v>622</v>
      </c>
      <c r="D105" t="s">
        <v>623</v>
      </c>
      <c r="E105">
        <v>69.5</v>
      </c>
      <c r="F105">
        <v>118.6</v>
      </c>
      <c r="G105">
        <v>44.2</v>
      </c>
      <c r="H105">
        <v>86.8</v>
      </c>
      <c r="I105">
        <v>157.80000000000001</v>
      </c>
      <c r="J105">
        <v>69.900000000000006</v>
      </c>
      <c r="K105">
        <v>40.700000000000003</v>
      </c>
      <c r="L105">
        <v>232</v>
      </c>
      <c r="M105">
        <v>58.8</v>
      </c>
      <c r="N105">
        <v>167.9</v>
      </c>
      <c r="O105">
        <v>85.6</v>
      </c>
      <c r="P105">
        <v>7.6</v>
      </c>
      <c r="Q105">
        <v>1139.4000000000001</v>
      </c>
    </row>
    <row r="106" spans="1:17" s="224" customFormat="1" x14ac:dyDescent="0.25">
      <c r="A106" s="224" t="s">
        <v>602</v>
      </c>
      <c r="B106" s="224" t="s">
        <v>624</v>
      </c>
      <c r="C106" s="224" t="s">
        <v>625</v>
      </c>
      <c r="D106" s="224" t="s">
        <v>626</v>
      </c>
      <c r="E106" s="224">
        <v>91.4</v>
      </c>
      <c r="F106" s="224">
        <v>187.1</v>
      </c>
      <c r="G106" s="224">
        <v>81.7</v>
      </c>
      <c r="H106" s="224">
        <v>185.7</v>
      </c>
      <c r="I106" s="224">
        <v>144.4</v>
      </c>
      <c r="J106" s="224">
        <v>56.3</v>
      </c>
      <c r="K106" s="224">
        <v>45.1</v>
      </c>
      <c r="L106" s="224">
        <v>122.1</v>
      </c>
      <c r="M106" s="224">
        <v>17.399999999999999</v>
      </c>
      <c r="N106" s="224">
        <v>430.7</v>
      </c>
      <c r="O106" s="224">
        <v>200.2</v>
      </c>
      <c r="P106" s="224">
        <v>10.3</v>
      </c>
      <c r="Q106" s="224">
        <v>1572.4</v>
      </c>
    </row>
    <row r="107" spans="1:17" x14ac:dyDescent="0.25">
      <c r="A107" t="s">
        <v>627</v>
      </c>
      <c r="B107" t="s">
        <v>628</v>
      </c>
      <c r="C107" t="s">
        <v>629</v>
      </c>
      <c r="D107" t="s">
        <v>630</v>
      </c>
      <c r="E107">
        <v>28.4</v>
      </c>
      <c r="F107">
        <v>85</v>
      </c>
      <c r="G107">
        <v>86.2</v>
      </c>
      <c r="H107">
        <v>144.1</v>
      </c>
      <c r="I107">
        <v>124.5</v>
      </c>
      <c r="J107">
        <v>76</v>
      </c>
      <c r="K107">
        <v>23.3</v>
      </c>
      <c r="L107">
        <v>86.9</v>
      </c>
      <c r="M107">
        <v>52.6</v>
      </c>
      <c r="N107">
        <v>148.80000000000001</v>
      </c>
      <c r="O107">
        <v>88.7</v>
      </c>
      <c r="P107">
        <v>10.199999999999999</v>
      </c>
      <c r="Q107">
        <v>954.7</v>
      </c>
    </row>
    <row r="108" spans="1:17" x14ac:dyDescent="0.25">
      <c r="A108" t="s">
        <v>627</v>
      </c>
      <c r="B108" t="s">
        <v>631</v>
      </c>
      <c r="C108" t="s">
        <v>632</v>
      </c>
      <c r="D108" t="s">
        <v>633</v>
      </c>
      <c r="E108">
        <v>54.3</v>
      </c>
      <c r="F108">
        <v>104.9</v>
      </c>
      <c r="G108">
        <v>123.7</v>
      </c>
      <c r="H108">
        <v>157.30000000000001</v>
      </c>
      <c r="I108">
        <v>149.80000000000001</v>
      </c>
      <c r="J108">
        <v>110.9</v>
      </c>
      <c r="K108">
        <v>10.8</v>
      </c>
      <c r="L108">
        <v>70</v>
      </c>
      <c r="M108">
        <v>57.2</v>
      </c>
      <c r="N108">
        <v>170.7</v>
      </c>
      <c r="O108">
        <v>86.3</v>
      </c>
      <c r="P108">
        <v>10.199999999999999</v>
      </c>
      <c r="Q108">
        <v>1106.0999999999999</v>
      </c>
    </row>
    <row r="109" spans="1:17" x14ac:dyDescent="0.25">
      <c r="A109" t="s">
        <v>627</v>
      </c>
      <c r="B109" t="s">
        <v>634</v>
      </c>
      <c r="C109" t="s">
        <v>635</v>
      </c>
      <c r="D109" t="s">
        <v>636</v>
      </c>
      <c r="E109">
        <v>41.2</v>
      </c>
      <c r="F109">
        <v>80</v>
      </c>
      <c r="G109">
        <v>68.099999999999994</v>
      </c>
      <c r="H109">
        <v>114</v>
      </c>
      <c r="I109">
        <v>131.80000000000001</v>
      </c>
      <c r="J109">
        <v>116.3</v>
      </c>
      <c r="K109">
        <v>15.4</v>
      </c>
      <c r="L109">
        <v>66</v>
      </c>
      <c r="M109">
        <v>27.2</v>
      </c>
      <c r="N109">
        <v>131.69999999999999</v>
      </c>
      <c r="O109">
        <v>81.7</v>
      </c>
      <c r="P109">
        <v>7.1</v>
      </c>
      <c r="Q109">
        <v>880.5</v>
      </c>
    </row>
    <row r="110" spans="1:17" x14ac:dyDescent="0.25">
      <c r="A110" t="s">
        <v>627</v>
      </c>
      <c r="B110" t="s">
        <v>637</v>
      </c>
      <c r="C110" t="s">
        <v>638</v>
      </c>
      <c r="D110" t="s">
        <v>639</v>
      </c>
      <c r="E110">
        <v>33</v>
      </c>
      <c r="F110">
        <v>90.6</v>
      </c>
      <c r="G110">
        <v>79.400000000000006</v>
      </c>
      <c r="H110">
        <v>115</v>
      </c>
      <c r="I110">
        <v>121.4</v>
      </c>
      <c r="J110">
        <v>57.3</v>
      </c>
      <c r="K110">
        <v>16.3</v>
      </c>
      <c r="L110">
        <v>64.5</v>
      </c>
      <c r="M110">
        <v>56.6</v>
      </c>
      <c r="N110">
        <v>122.6</v>
      </c>
      <c r="O110">
        <v>69.400000000000006</v>
      </c>
      <c r="P110">
        <v>15.4</v>
      </c>
      <c r="Q110">
        <v>841.5</v>
      </c>
    </row>
    <row r="111" spans="1:17" x14ac:dyDescent="0.25">
      <c r="A111" t="s">
        <v>640</v>
      </c>
      <c r="B111" t="s">
        <v>641</v>
      </c>
      <c r="C111" t="s">
        <v>642</v>
      </c>
      <c r="D111" t="s">
        <v>643</v>
      </c>
      <c r="E111">
        <v>197.1</v>
      </c>
      <c r="F111">
        <v>204.1</v>
      </c>
      <c r="G111">
        <v>163.4</v>
      </c>
      <c r="H111">
        <v>276.39999999999998</v>
      </c>
      <c r="I111">
        <v>186.6</v>
      </c>
      <c r="J111">
        <v>103.2</v>
      </c>
      <c r="K111">
        <v>70.599999999999994</v>
      </c>
      <c r="L111">
        <v>80.2</v>
      </c>
      <c r="M111">
        <v>69</v>
      </c>
      <c r="N111">
        <v>219.9</v>
      </c>
      <c r="O111">
        <v>79.8</v>
      </c>
      <c r="P111">
        <v>31.4</v>
      </c>
      <c r="Q111">
        <v>1681.7</v>
      </c>
    </row>
    <row r="112" spans="1:17" x14ac:dyDescent="0.25">
      <c r="A112" t="s">
        <v>640</v>
      </c>
      <c r="B112" t="s">
        <v>644</v>
      </c>
      <c r="C112" t="s">
        <v>645</v>
      </c>
      <c r="D112" t="s">
        <v>646</v>
      </c>
      <c r="E112">
        <v>229.4</v>
      </c>
      <c r="F112">
        <v>295.39999999999998</v>
      </c>
      <c r="G112">
        <v>157.30000000000001</v>
      </c>
      <c r="H112">
        <v>118.2</v>
      </c>
      <c r="I112">
        <v>298</v>
      </c>
      <c r="J112">
        <v>133.80000000000001</v>
      </c>
      <c r="K112">
        <v>61.6</v>
      </c>
      <c r="L112">
        <v>119.1</v>
      </c>
      <c r="M112">
        <v>93.8</v>
      </c>
      <c r="N112">
        <v>157.1</v>
      </c>
      <c r="O112">
        <v>81.099999999999994</v>
      </c>
      <c r="P112">
        <v>61.9</v>
      </c>
      <c r="Q112">
        <v>1806.7</v>
      </c>
    </row>
    <row r="113" spans="1:17" x14ac:dyDescent="0.25">
      <c r="A113" t="s">
        <v>640</v>
      </c>
      <c r="B113" t="s">
        <v>647</v>
      </c>
      <c r="C113" t="s">
        <v>648</v>
      </c>
      <c r="D113" t="s">
        <v>649</v>
      </c>
      <c r="E113">
        <v>160.19999999999999</v>
      </c>
      <c r="F113">
        <v>193.5</v>
      </c>
      <c r="G113">
        <v>289.7</v>
      </c>
      <c r="H113">
        <v>322.3</v>
      </c>
      <c r="I113">
        <v>177.9</v>
      </c>
      <c r="J113">
        <v>91.4</v>
      </c>
      <c r="K113">
        <v>113.2</v>
      </c>
      <c r="L113">
        <v>295.89999999999998</v>
      </c>
      <c r="M113">
        <v>109.5</v>
      </c>
      <c r="N113">
        <v>229.1</v>
      </c>
      <c r="O113">
        <v>124.6</v>
      </c>
      <c r="P113">
        <v>24.7</v>
      </c>
      <c r="Q113">
        <v>2132</v>
      </c>
    </row>
    <row r="114" spans="1:17" x14ac:dyDescent="0.25">
      <c r="A114" t="s">
        <v>640</v>
      </c>
      <c r="B114" t="s">
        <v>650</v>
      </c>
      <c r="C114" t="s">
        <v>651</v>
      </c>
      <c r="D114" t="s">
        <v>652</v>
      </c>
      <c r="E114">
        <v>143.1</v>
      </c>
      <c r="F114">
        <v>115.6</v>
      </c>
      <c r="G114">
        <v>152.6</v>
      </c>
      <c r="H114">
        <v>167.3</v>
      </c>
      <c r="I114">
        <v>120.5</v>
      </c>
      <c r="J114">
        <v>61.1</v>
      </c>
      <c r="K114">
        <v>82.8</v>
      </c>
      <c r="L114">
        <v>150.1</v>
      </c>
      <c r="M114">
        <v>41.6</v>
      </c>
      <c r="N114">
        <v>234.6</v>
      </c>
      <c r="O114">
        <v>113.7</v>
      </c>
      <c r="P114">
        <v>13.6</v>
      </c>
      <c r="Q114">
        <v>1396.6</v>
      </c>
    </row>
    <row r="115" spans="1:17" x14ac:dyDescent="0.25">
      <c r="A115" t="s">
        <v>640</v>
      </c>
      <c r="B115" t="s">
        <v>653</v>
      </c>
      <c r="C115" t="s">
        <v>654</v>
      </c>
      <c r="D115" t="s">
        <v>655</v>
      </c>
      <c r="E115">
        <v>47.4</v>
      </c>
      <c r="F115">
        <v>67.900000000000006</v>
      </c>
      <c r="G115">
        <v>81.900000000000006</v>
      </c>
      <c r="H115">
        <v>113.8</v>
      </c>
      <c r="I115">
        <v>114.9</v>
      </c>
      <c r="J115">
        <v>79.8</v>
      </c>
      <c r="K115">
        <v>83.1</v>
      </c>
      <c r="L115">
        <v>112.2</v>
      </c>
      <c r="M115">
        <v>74.3</v>
      </c>
      <c r="N115">
        <v>107.6</v>
      </c>
      <c r="O115">
        <v>68.099999999999994</v>
      </c>
      <c r="P115">
        <v>10.1</v>
      </c>
      <c r="Q115">
        <v>961.1</v>
      </c>
    </row>
    <row r="116" spans="1:17" x14ac:dyDescent="0.25">
      <c r="A116" t="s">
        <v>656</v>
      </c>
      <c r="B116" t="s">
        <v>657</v>
      </c>
      <c r="C116" t="s">
        <v>658</v>
      </c>
      <c r="D116" t="s">
        <v>659</v>
      </c>
      <c r="E116">
        <v>56</v>
      </c>
      <c r="F116">
        <v>79.099999999999994</v>
      </c>
      <c r="G116">
        <v>27</v>
      </c>
      <c r="H116">
        <v>139.6</v>
      </c>
      <c r="I116">
        <v>112.3</v>
      </c>
      <c r="J116">
        <v>93.3</v>
      </c>
      <c r="K116">
        <v>49.4</v>
      </c>
      <c r="L116">
        <v>77.900000000000006</v>
      </c>
      <c r="M116">
        <v>57.1</v>
      </c>
      <c r="N116">
        <v>240.4</v>
      </c>
      <c r="O116">
        <v>231.6</v>
      </c>
      <c r="P116">
        <v>12.5</v>
      </c>
      <c r="Q116">
        <v>1176.2</v>
      </c>
    </row>
    <row r="117" spans="1:17" x14ac:dyDescent="0.25">
      <c r="A117" t="s">
        <v>660</v>
      </c>
      <c r="B117" t="s">
        <v>661</v>
      </c>
      <c r="C117" t="s">
        <v>662</v>
      </c>
      <c r="D117" t="s">
        <v>663</v>
      </c>
      <c r="E117">
        <v>29.9</v>
      </c>
      <c r="F117">
        <v>44.8</v>
      </c>
      <c r="G117">
        <v>51.8</v>
      </c>
      <c r="H117">
        <v>103.2</v>
      </c>
      <c r="I117">
        <v>59.5</v>
      </c>
      <c r="J117">
        <v>3.9</v>
      </c>
      <c r="K117">
        <v>12.1</v>
      </c>
      <c r="L117">
        <v>6.7</v>
      </c>
      <c r="M117">
        <v>0.7</v>
      </c>
      <c r="N117">
        <v>126.4</v>
      </c>
      <c r="O117">
        <v>58.8</v>
      </c>
      <c r="P117">
        <v>14</v>
      </c>
      <c r="Q117">
        <v>511.8</v>
      </c>
    </row>
    <row r="118" spans="1:17" x14ac:dyDescent="0.25">
      <c r="A118" t="s">
        <v>660</v>
      </c>
      <c r="B118" t="s">
        <v>664</v>
      </c>
      <c r="C118" t="s">
        <v>665</v>
      </c>
      <c r="D118" t="s">
        <v>666</v>
      </c>
      <c r="E118">
        <v>32</v>
      </c>
      <c r="F118">
        <v>43.3</v>
      </c>
      <c r="G118">
        <v>44.8</v>
      </c>
      <c r="H118">
        <v>74.5</v>
      </c>
      <c r="I118">
        <v>80.099999999999994</v>
      </c>
      <c r="J118">
        <v>4.3</v>
      </c>
      <c r="K118">
        <v>10</v>
      </c>
      <c r="L118">
        <v>11.4</v>
      </c>
      <c r="M118">
        <v>0.2</v>
      </c>
      <c r="N118">
        <v>124.2</v>
      </c>
      <c r="O118">
        <v>66.599999999999994</v>
      </c>
      <c r="P118">
        <v>14.2</v>
      </c>
      <c r="Q118">
        <v>505.6</v>
      </c>
    </row>
    <row r="119" spans="1:17" x14ac:dyDescent="0.25">
      <c r="A119" t="s">
        <v>660</v>
      </c>
      <c r="B119" t="s">
        <v>667</v>
      </c>
      <c r="C119" t="s">
        <v>668</v>
      </c>
      <c r="D119" t="s">
        <v>669</v>
      </c>
      <c r="E119">
        <v>25.6</v>
      </c>
      <c r="F119">
        <v>46.1</v>
      </c>
      <c r="G119">
        <v>48.3</v>
      </c>
      <c r="H119">
        <v>87</v>
      </c>
      <c r="I119">
        <v>53.9</v>
      </c>
      <c r="J119">
        <v>3.7</v>
      </c>
      <c r="K119">
        <v>14.8</v>
      </c>
      <c r="L119">
        <v>7.7</v>
      </c>
      <c r="M119">
        <v>0.6</v>
      </c>
      <c r="N119">
        <v>117.6</v>
      </c>
      <c r="O119">
        <v>62</v>
      </c>
      <c r="P119">
        <v>16.100000000000001</v>
      </c>
      <c r="Q119">
        <v>483.4</v>
      </c>
    </row>
    <row r="120" spans="1:17" x14ac:dyDescent="0.25">
      <c r="A120" t="s">
        <v>660</v>
      </c>
      <c r="B120" t="s">
        <v>670</v>
      </c>
      <c r="C120" t="s">
        <v>671</v>
      </c>
      <c r="D120" t="s">
        <v>672</v>
      </c>
      <c r="E120">
        <v>27.2</v>
      </c>
      <c r="F120">
        <v>44</v>
      </c>
      <c r="G120">
        <v>48.5</v>
      </c>
      <c r="H120">
        <v>77.2</v>
      </c>
      <c r="I120">
        <v>53.8</v>
      </c>
      <c r="J120">
        <v>3</v>
      </c>
      <c r="K120">
        <v>21.3</v>
      </c>
      <c r="L120">
        <v>11.6</v>
      </c>
      <c r="M120">
        <v>0.9</v>
      </c>
      <c r="N120">
        <v>132.1</v>
      </c>
      <c r="O120">
        <v>70.3</v>
      </c>
      <c r="P120">
        <v>16.5</v>
      </c>
      <c r="Q120">
        <v>506.4</v>
      </c>
    </row>
    <row r="121" spans="1:17" x14ac:dyDescent="0.25">
      <c r="A121" t="s">
        <v>673</v>
      </c>
      <c r="B121" t="s">
        <v>674</v>
      </c>
      <c r="C121" t="s">
        <v>675</v>
      </c>
      <c r="D121" t="s">
        <v>676</v>
      </c>
      <c r="E121">
        <v>15.5</v>
      </c>
      <c r="F121">
        <v>41.1</v>
      </c>
      <c r="G121">
        <v>33.299999999999997</v>
      </c>
      <c r="H121">
        <v>55.4</v>
      </c>
      <c r="I121">
        <v>92.1</v>
      </c>
      <c r="J121">
        <v>1.9</v>
      </c>
      <c r="K121">
        <v>7.2</v>
      </c>
      <c r="L121">
        <v>15.5</v>
      </c>
      <c r="M121">
        <v>3.6</v>
      </c>
      <c r="N121">
        <v>178</v>
      </c>
      <c r="O121">
        <v>59</v>
      </c>
      <c r="P121">
        <v>7.3</v>
      </c>
      <c r="Q121">
        <v>509.9</v>
      </c>
    </row>
    <row r="122" spans="1:17" x14ac:dyDescent="0.25">
      <c r="A122" t="s">
        <v>673</v>
      </c>
      <c r="B122" t="s">
        <v>677</v>
      </c>
      <c r="C122" t="s">
        <v>678</v>
      </c>
      <c r="D122" t="s">
        <v>679</v>
      </c>
      <c r="E122">
        <v>21.7</v>
      </c>
      <c r="F122">
        <v>87.9</v>
      </c>
      <c r="G122">
        <v>41.6</v>
      </c>
      <c r="H122">
        <v>88.1</v>
      </c>
      <c r="I122">
        <v>131.6</v>
      </c>
      <c r="J122">
        <v>2.2999999999999998</v>
      </c>
      <c r="K122">
        <v>9.3000000000000007</v>
      </c>
      <c r="L122">
        <v>43.7</v>
      </c>
      <c r="M122">
        <v>12.8</v>
      </c>
      <c r="N122">
        <v>243</v>
      </c>
      <c r="O122">
        <v>137.9</v>
      </c>
      <c r="P122">
        <v>7.9</v>
      </c>
      <c r="Q122">
        <v>827.8</v>
      </c>
    </row>
    <row r="123" spans="1:17" x14ac:dyDescent="0.25">
      <c r="A123" t="s">
        <v>673</v>
      </c>
      <c r="B123" t="s">
        <v>680</v>
      </c>
      <c r="C123" t="s">
        <v>681</v>
      </c>
      <c r="D123" t="s">
        <v>682</v>
      </c>
      <c r="E123">
        <v>47.1</v>
      </c>
      <c r="F123">
        <v>49.5</v>
      </c>
      <c r="G123">
        <v>39.4</v>
      </c>
      <c r="H123">
        <v>100.8</v>
      </c>
      <c r="I123">
        <v>70.8</v>
      </c>
      <c r="J123">
        <v>1.2</v>
      </c>
      <c r="K123">
        <v>5.0999999999999996</v>
      </c>
      <c r="L123">
        <v>18.100000000000001</v>
      </c>
      <c r="M123">
        <v>28.6</v>
      </c>
      <c r="N123">
        <v>194.1</v>
      </c>
      <c r="O123">
        <v>82.7</v>
      </c>
      <c r="P123">
        <v>8.3000000000000007</v>
      </c>
      <c r="Q123">
        <v>645.70000000000005</v>
      </c>
    </row>
    <row r="124" spans="1:17" x14ac:dyDescent="0.25">
      <c r="A124" t="s">
        <v>673</v>
      </c>
      <c r="B124" t="s">
        <v>683</v>
      </c>
      <c r="C124" t="s">
        <v>684</v>
      </c>
      <c r="D124" t="s">
        <v>685</v>
      </c>
      <c r="E124">
        <v>28.2</v>
      </c>
      <c r="F124">
        <v>78.8</v>
      </c>
      <c r="G124">
        <v>52.7</v>
      </c>
      <c r="H124">
        <v>106.6</v>
      </c>
      <c r="I124">
        <v>116</v>
      </c>
      <c r="J124">
        <v>17.5</v>
      </c>
      <c r="K124">
        <v>6.8</v>
      </c>
      <c r="L124">
        <v>36.4</v>
      </c>
      <c r="M124">
        <v>65.400000000000006</v>
      </c>
      <c r="N124">
        <v>230.9</v>
      </c>
      <c r="O124">
        <v>80.099999999999994</v>
      </c>
      <c r="P124">
        <v>6</v>
      </c>
      <c r="Q124">
        <v>825.4</v>
      </c>
    </row>
    <row r="125" spans="1:17" x14ac:dyDescent="0.25">
      <c r="A125" t="s">
        <v>673</v>
      </c>
      <c r="B125" t="s">
        <v>686</v>
      </c>
      <c r="C125" t="s">
        <v>687</v>
      </c>
      <c r="D125" t="s">
        <v>688</v>
      </c>
      <c r="E125">
        <v>25.8</v>
      </c>
      <c r="F125">
        <v>61.4</v>
      </c>
      <c r="G125">
        <v>45.4</v>
      </c>
      <c r="H125">
        <v>85</v>
      </c>
      <c r="I125">
        <v>97.2</v>
      </c>
      <c r="J125">
        <v>38.200000000000003</v>
      </c>
      <c r="K125">
        <v>17.8</v>
      </c>
      <c r="L125">
        <v>15.8</v>
      </c>
      <c r="M125">
        <v>18.8</v>
      </c>
      <c r="N125">
        <v>185.8</v>
      </c>
      <c r="O125">
        <v>101.5</v>
      </c>
      <c r="P125">
        <v>6.6</v>
      </c>
      <c r="Q125">
        <v>699.3</v>
      </c>
    </row>
    <row r="126" spans="1:17" x14ac:dyDescent="0.25">
      <c r="A126" t="s">
        <v>673</v>
      </c>
      <c r="B126" t="s">
        <v>689</v>
      </c>
      <c r="C126" t="s">
        <v>690</v>
      </c>
      <c r="D126" t="s">
        <v>691</v>
      </c>
      <c r="E126">
        <v>44.9</v>
      </c>
      <c r="F126">
        <v>60.7</v>
      </c>
      <c r="G126">
        <v>66.599999999999994</v>
      </c>
      <c r="H126">
        <v>108.7</v>
      </c>
      <c r="I126">
        <v>137.5</v>
      </c>
      <c r="J126">
        <v>22.3</v>
      </c>
      <c r="K126">
        <v>10.1</v>
      </c>
      <c r="L126">
        <v>31.9</v>
      </c>
      <c r="M126">
        <v>58.4</v>
      </c>
      <c r="N126">
        <v>224.3</v>
      </c>
      <c r="O126">
        <v>75.8</v>
      </c>
      <c r="P126">
        <v>8.6999999999999993</v>
      </c>
      <c r="Q126">
        <v>849.9</v>
      </c>
    </row>
    <row r="127" spans="1:17" x14ac:dyDescent="0.25">
      <c r="A127" t="s">
        <v>692</v>
      </c>
      <c r="B127" t="s">
        <v>693</v>
      </c>
      <c r="C127" t="s">
        <v>694</v>
      </c>
      <c r="D127" t="s">
        <v>695</v>
      </c>
      <c r="E127">
        <v>35.6</v>
      </c>
      <c r="F127">
        <v>37.9</v>
      </c>
      <c r="G127">
        <v>32.1</v>
      </c>
      <c r="H127">
        <v>82.3</v>
      </c>
      <c r="I127">
        <v>100.6</v>
      </c>
      <c r="J127">
        <v>2.4</v>
      </c>
      <c r="K127">
        <v>8.8000000000000007</v>
      </c>
      <c r="L127">
        <v>7.3</v>
      </c>
      <c r="M127">
        <v>3.3</v>
      </c>
      <c r="N127">
        <v>164.3</v>
      </c>
      <c r="O127">
        <v>72.599999999999994</v>
      </c>
      <c r="P127">
        <v>10.1</v>
      </c>
      <c r="Q127">
        <v>557.29999999999995</v>
      </c>
    </row>
    <row r="128" spans="1:17" x14ac:dyDescent="0.25">
      <c r="A128" t="s">
        <v>692</v>
      </c>
      <c r="B128" t="s">
        <v>696</v>
      </c>
      <c r="C128" t="s">
        <v>697</v>
      </c>
      <c r="D128" t="s">
        <v>698</v>
      </c>
      <c r="E128">
        <v>15.1</v>
      </c>
      <c r="F128">
        <v>38.1</v>
      </c>
      <c r="G128">
        <v>30.1</v>
      </c>
      <c r="H128">
        <v>50</v>
      </c>
      <c r="I128">
        <v>87</v>
      </c>
      <c r="J128">
        <v>3.5</v>
      </c>
      <c r="K128">
        <v>7.4</v>
      </c>
      <c r="L128">
        <v>5.5</v>
      </c>
      <c r="M128">
        <v>10.3</v>
      </c>
      <c r="N128">
        <v>201.1</v>
      </c>
      <c r="O128">
        <v>69.8</v>
      </c>
      <c r="P128">
        <v>11.6</v>
      </c>
      <c r="Q128">
        <v>529.5</v>
      </c>
    </row>
    <row r="129" spans="1:17" x14ac:dyDescent="0.25">
      <c r="A129" t="s">
        <v>692</v>
      </c>
      <c r="B129" t="s">
        <v>699</v>
      </c>
      <c r="C129" t="s">
        <v>700</v>
      </c>
      <c r="D129" t="s">
        <v>701</v>
      </c>
      <c r="E129">
        <v>26.9</v>
      </c>
      <c r="F129">
        <v>31.7</v>
      </c>
      <c r="G129">
        <v>23.8</v>
      </c>
      <c r="H129">
        <v>55</v>
      </c>
      <c r="I129">
        <v>52.3</v>
      </c>
      <c r="J129">
        <v>5.9</v>
      </c>
      <c r="K129">
        <v>11.4</v>
      </c>
      <c r="L129">
        <v>4.0999999999999996</v>
      </c>
      <c r="M129">
        <v>13.1</v>
      </c>
      <c r="N129">
        <v>137.9</v>
      </c>
      <c r="O129">
        <v>50.5</v>
      </c>
      <c r="P129">
        <v>9.5</v>
      </c>
      <c r="Q129">
        <v>422.1</v>
      </c>
    </row>
    <row r="130" spans="1:17" x14ac:dyDescent="0.25">
      <c r="A130" t="s">
        <v>692</v>
      </c>
      <c r="B130" t="s">
        <v>702</v>
      </c>
      <c r="C130" t="s">
        <v>703</v>
      </c>
      <c r="D130" t="s">
        <v>704</v>
      </c>
      <c r="E130">
        <v>20.100000000000001</v>
      </c>
      <c r="F130">
        <v>69.2</v>
      </c>
      <c r="G130">
        <v>40</v>
      </c>
      <c r="H130">
        <v>73.3</v>
      </c>
      <c r="I130">
        <v>165.9</v>
      </c>
      <c r="J130">
        <v>2.8</v>
      </c>
      <c r="K130">
        <v>11.2</v>
      </c>
      <c r="L130">
        <v>83.7</v>
      </c>
      <c r="M130">
        <v>26.7</v>
      </c>
      <c r="N130">
        <v>257.39999999999998</v>
      </c>
      <c r="O130">
        <v>97</v>
      </c>
      <c r="P130">
        <v>12</v>
      </c>
      <c r="Q130">
        <v>859.3</v>
      </c>
    </row>
    <row r="131" spans="1:17" x14ac:dyDescent="0.25">
      <c r="A131" t="s">
        <v>692</v>
      </c>
      <c r="B131" t="s">
        <v>705</v>
      </c>
      <c r="C131" t="s">
        <v>706</v>
      </c>
      <c r="D131" t="s">
        <v>707</v>
      </c>
      <c r="E131">
        <v>24</v>
      </c>
      <c r="F131">
        <v>42.8</v>
      </c>
      <c r="G131">
        <v>26</v>
      </c>
      <c r="H131">
        <v>74.2</v>
      </c>
      <c r="I131">
        <v>71.599999999999994</v>
      </c>
      <c r="J131">
        <v>2.1</v>
      </c>
      <c r="K131">
        <v>9.6999999999999993</v>
      </c>
      <c r="L131">
        <v>16.2</v>
      </c>
      <c r="M131">
        <v>4.7</v>
      </c>
      <c r="N131">
        <v>149</v>
      </c>
      <c r="O131">
        <v>67.599999999999994</v>
      </c>
      <c r="P131">
        <v>7.9</v>
      </c>
      <c r="Q131">
        <v>495.8</v>
      </c>
    </row>
    <row r="132" spans="1:17" x14ac:dyDescent="0.25">
      <c r="A132" t="s">
        <v>708</v>
      </c>
      <c r="B132" t="s">
        <v>709</v>
      </c>
      <c r="C132" t="s">
        <v>710</v>
      </c>
      <c r="D132" t="s">
        <v>711</v>
      </c>
      <c r="E132">
        <v>86.4</v>
      </c>
      <c r="F132">
        <v>122.8</v>
      </c>
      <c r="G132">
        <v>61.8</v>
      </c>
      <c r="H132">
        <v>192.9</v>
      </c>
      <c r="I132">
        <v>102.2</v>
      </c>
      <c r="J132">
        <v>110.6</v>
      </c>
      <c r="K132">
        <v>134.69999999999999</v>
      </c>
      <c r="L132">
        <v>169.2</v>
      </c>
      <c r="M132">
        <v>125.8</v>
      </c>
      <c r="N132">
        <v>350.4</v>
      </c>
      <c r="O132">
        <v>134.1</v>
      </c>
      <c r="P132">
        <v>7.3</v>
      </c>
      <c r="Q132">
        <v>1598.2</v>
      </c>
    </row>
    <row r="133" spans="1:17" x14ac:dyDescent="0.25">
      <c r="A133" t="s">
        <v>708</v>
      </c>
      <c r="B133" t="s">
        <v>712</v>
      </c>
      <c r="C133" t="s">
        <v>713</v>
      </c>
      <c r="D133" t="s">
        <v>714</v>
      </c>
      <c r="E133">
        <v>110.5</v>
      </c>
      <c r="F133">
        <v>150.19999999999999</v>
      </c>
      <c r="G133">
        <v>127.1</v>
      </c>
      <c r="H133">
        <v>193.4</v>
      </c>
      <c r="I133">
        <v>174.6</v>
      </c>
      <c r="J133">
        <v>62.1</v>
      </c>
      <c r="K133">
        <v>75.599999999999994</v>
      </c>
      <c r="L133">
        <v>133.6</v>
      </c>
      <c r="M133">
        <v>56.6</v>
      </c>
      <c r="N133">
        <v>369.1</v>
      </c>
      <c r="O133">
        <v>121.6</v>
      </c>
      <c r="P133">
        <v>14.2</v>
      </c>
      <c r="Q133">
        <v>1588.6</v>
      </c>
    </row>
    <row r="134" spans="1:17" x14ac:dyDescent="0.25">
      <c r="A134" t="s">
        <v>708</v>
      </c>
      <c r="B134" t="s">
        <v>715</v>
      </c>
      <c r="C134" t="s">
        <v>716</v>
      </c>
      <c r="D134" t="s">
        <v>717</v>
      </c>
      <c r="E134">
        <v>62.6</v>
      </c>
      <c r="F134">
        <v>123</v>
      </c>
      <c r="G134">
        <v>43.2</v>
      </c>
      <c r="H134">
        <v>109.5</v>
      </c>
      <c r="I134">
        <v>126.1</v>
      </c>
      <c r="J134">
        <v>72.599999999999994</v>
      </c>
      <c r="K134">
        <v>153.69999999999999</v>
      </c>
      <c r="L134">
        <v>180.1</v>
      </c>
      <c r="M134">
        <v>88.3</v>
      </c>
      <c r="N134">
        <v>275.89999999999998</v>
      </c>
      <c r="O134">
        <v>94.9</v>
      </c>
      <c r="P134">
        <v>6</v>
      </c>
      <c r="Q134">
        <v>1335.9</v>
      </c>
    </row>
    <row r="135" spans="1:17" x14ac:dyDescent="0.25">
      <c r="A135" t="s">
        <v>708</v>
      </c>
      <c r="B135" t="s">
        <v>718</v>
      </c>
      <c r="C135" t="s">
        <v>719</v>
      </c>
      <c r="D135" t="s">
        <v>720</v>
      </c>
      <c r="E135">
        <v>87.1</v>
      </c>
      <c r="F135">
        <v>144.6</v>
      </c>
      <c r="G135">
        <v>54.1</v>
      </c>
      <c r="H135">
        <v>173.7</v>
      </c>
      <c r="I135">
        <v>159.6</v>
      </c>
      <c r="J135">
        <v>114.1</v>
      </c>
      <c r="K135">
        <v>97.6</v>
      </c>
      <c r="L135">
        <v>114.7</v>
      </c>
      <c r="M135">
        <v>165.3</v>
      </c>
      <c r="N135">
        <v>321.89999999999998</v>
      </c>
      <c r="O135">
        <v>151.69999999999999</v>
      </c>
      <c r="P135">
        <v>4.8</v>
      </c>
      <c r="Q135">
        <v>1589.2</v>
      </c>
    </row>
    <row r="136" spans="1:17" x14ac:dyDescent="0.25">
      <c r="A136" t="s">
        <v>708</v>
      </c>
      <c r="B136" t="s">
        <v>721</v>
      </c>
      <c r="C136" t="s">
        <v>722</v>
      </c>
      <c r="D136" t="s">
        <v>723</v>
      </c>
      <c r="E136">
        <v>154.80000000000001</v>
      </c>
      <c r="F136">
        <v>168.2</v>
      </c>
      <c r="G136">
        <v>150.1</v>
      </c>
      <c r="H136">
        <v>191.7</v>
      </c>
      <c r="I136">
        <v>171.1</v>
      </c>
      <c r="J136">
        <v>53.8</v>
      </c>
      <c r="K136">
        <v>104.2</v>
      </c>
      <c r="L136">
        <v>113.9</v>
      </c>
      <c r="M136">
        <v>61.2</v>
      </c>
      <c r="N136">
        <v>309.5</v>
      </c>
      <c r="O136">
        <v>73.099999999999994</v>
      </c>
      <c r="P136">
        <v>18</v>
      </c>
      <c r="Q136">
        <v>1569.6</v>
      </c>
    </row>
    <row r="137" spans="1:17" x14ac:dyDescent="0.25">
      <c r="A137" t="s">
        <v>724</v>
      </c>
      <c r="B137" t="s">
        <v>725</v>
      </c>
      <c r="C137" t="s">
        <v>726</v>
      </c>
      <c r="D137" t="s">
        <v>727</v>
      </c>
      <c r="E137">
        <v>31.6</v>
      </c>
      <c r="F137">
        <v>28.4</v>
      </c>
      <c r="G137">
        <v>68.900000000000006</v>
      </c>
      <c r="H137">
        <v>51</v>
      </c>
      <c r="I137">
        <v>100</v>
      </c>
      <c r="J137">
        <v>33</v>
      </c>
      <c r="K137">
        <v>7.1</v>
      </c>
      <c r="L137">
        <v>35.700000000000003</v>
      </c>
      <c r="M137">
        <v>42.1</v>
      </c>
      <c r="N137">
        <v>123.9</v>
      </c>
      <c r="O137">
        <v>60.3</v>
      </c>
      <c r="P137">
        <v>7.3</v>
      </c>
      <c r="Q137">
        <v>589.29999999999995</v>
      </c>
    </row>
    <row r="138" spans="1:17" x14ac:dyDescent="0.25">
      <c r="A138" t="s">
        <v>724</v>
      </c>
      <c r="B138" t="s">
        <v>528</v>
      </c>
      <c r="C138" t="s">
        <v>728</v>
      </c>
      <c r="D138" t="s">
        <v>729</v>
      </c>
      <c r="E138">
        <v>28.9</v>
      </c>
      <c r="F138">
        <v>32</v>
      </c>
      <c r="G138">
        <v>57.6</v>
      </c>
      <c r="H138">
        <v>72</v>
      </c>
      <c r="I138">
        <v>82.2</v>
      </c>
      <c r="J138">
        <v>13.7</v>
      </c>
      <c r="K138">
        <v>16.2</v>
      </c>
      <c r="L138">
        <v>34.5</v>
      </c>
      <c r="M138">
        <v>12.8</v>
      </c>
      <c r="N138">
        <v>104.9</v>
      </c>
      <c r="O138">
        <v>71.099999999999994</v>
      </c>
      <c r="P138">
        <v>9.8000000000000007</v>
      </c>
      <c r="Q138">
        <v>535.70000000000005</v>
      </c>
    </row>
    <row r="139" spans="1:17" x14ac:dyDescent="0.25">
      <c r="A139" t="s">
        <v>724</v>
      </c>
      <c r="B139" t="s">
        <v>730</v>
      </c>
      <c r="C139" t="s">
        <v>731</v>
      </c>
      <c r="D139" t="s">
        <v>732</v>
      </c>
      <c r="E139">
        <v>44.9</v>
      </c>
      <c r="F139">
        <v>52.5</v>
      </c>
      <c r="G139">
        <v>75.099999999999994</v>
      </c>
      <c r="H139">
        <v>77</v>
      </c>
      <c r="I139">
        <v>122.6</v>
      </c>
      <c r="J139">
        <v>31.5</v>
      </c>
      <c r="K139">
        <v>6.4</v>
      </c>
      <c r="L139">
        <v>28.7</v>
      </c>
      <c r="M139">
        <v>18.899999999999999</v>
      </c>
      <c r="N139">
        <v>137.4</v>
      </c>
      <c r="O139">
        <v>81.599999999999994</v>
      </c>
      <c r="P139">
        <v>12</v>
      </c>
      <c r="Q139">
        <v>688.6</v>
      </c>
    </row>
    <row r="140" spans="1:17" x14ac:dyDescent="0.25">
      <c r="A140" t="s">
        <v>733</v>
      </c>
      <c r="B140" t="s">
        <v>734</v>
      </c>
      <c r="C140" t="s">
        <v>735</v>
      </c>
      <c r="D140" t="s">
        <v>736</v>
      </c>
      <c r="E140">
        <v>23.4</v>
      </c>
      <c r="F140">
        <v>37.1</v>
      </c>
      <c r="G140">
        <v>32.200000000000003</v>
      </c>
      <c r="H140">
        <v>61</v>
      </c>
      <c r="I140">
        <v>58.6</v>
      </c>
      <c r="J140">
        <v>5.5</v>
      </c>
      <c r="K140">
        <v>21.7</v>
      </c>
      <c r="L140">
        <v>4.2</v>
      </c>
      <c r="M140">
        <v>2.2000000000000002</v>
      </c>
      <c r="N140">
        <v>109.1</v>
      </c>
      <c r="O140">
        <v>52.1</v>
      </c>
      <c r="P140">
        <v>12.9</v>
      </c>
      <c r="Q140">
        <v>420</v>
      </c>
    </row>
    <row r="141" spans="1:17" x14ac:dyDescent="0.25">
      <c r="A141" t="s">
        <v>733</v>
      </c>
      <c r="B141" t="s">
        <v>737</v>
      </c>
      <c r="C141" t="s">
        <v>738</v>
      </c>
      <c r="D141" t="s">
        <v>739</v>
      </c>
      <c r="E141">
        <v>26.5</v>
      </c>
      <c r="F141">
        <v>44.9</v>
      </c>
      <c r="G141">
        <v>36.9</v>
      </c>
      <c r="H141">
        <v>83.7</v>
      </c>
      <c r="I141">
        <v>66.7</v>
      </c>
      <c r="J141">
        <v>28.1</v>
      </c>
      <c r="K141">
        <v>36.4</v>
      </c>
      <c r="L141">
        <v>18.899999999999999</v>
      </c>
      <c r="M141">
        <v>13.3</v>
      </c>
      <c r="N141">
        <v>135.80000000000001</v>
      </c>
      <c r="O141">
        <v>81.400000000000006</v>
      </c>
      <c r="P141">
        <v>16.3</v>
      </c>
      <c r="Q141">
        <v>588.9</v>
      </c>
    </row>
    <row r="142" spans="1:17" x14ac:dyDescent="0.25">
      <c r="A142" t="s">
        <v>733</v>
      </c>
      <c r="B142" t="s">
        <v>740</v>
      </c>
      <c r="C142" t="s">
        <v>741</v>
      </c>
      <c r="D142" t="s">
        <v>742</v>
      </c>
      <c r="E142">
        <v>29.9</v>
      </c>
      <c r="F142">
        <v>43.2</v>
      </c>
      <c r="G142">
        <v>54.3</v>
      </c>
      <c r="H142">
        <v>97.7</v>
      </c>
      <c r="I142">
        <v>71.099999999999994</v>
      </c>
      <c r="J142">
        <v>28.2</v>
      </c>
      <c r="K142">
        <v>8.6</v>
      </c>
      <c r="L142">
        <v>51.8</v>
      </c>
      <c r="M142">
        <v>0.9</v>
      </c>
      <c r="N142">
        <v>136</v>
      </c>
      <c r="O142">
        <v>63.5</v>
      </c>
      <c r="P142">
        <v>17.3</v>
      </c>
      <c r="Q142">
        <v>602.5</v>
      </c>
    </row>
    <row r="143" spans="1:17" x14ac:dyDescent="0.25">
      <c r="A143" t="s">
        <v>733</v>
      </c>
      <c r="B143" t="s">
        <v>743</v>
      </c>
      <c r="C143" t="s">
        <v>744</v>
      </c>
      <c r="D143" t="s">
        <v>745</v>
      </c>
      <c r="E143">
        <v>25.5</v>
      </c>
      <c r="F143">
        <v>32.1</v>
      </c>
      <c r="G143">
        <v>51.6</v>
      </c>
      <c r="H143">
        <v>86.4</v>
      </c>
      <c r="I143">
        <v>67</v>
      </c>
      <c r="J143">
        <v>7.4</v>
      </c>
      <c r="K143">
        <v>12.1</v>
      </c>
      <c r="L143">
        <v>46.6</v>
      </c>
      <c r="M143">
        <v>1.6</v>
      </c>
      <c r="N143">
        <v>141</v>
      </c>
      <c r="O143">
        <v>65.2</v>
      </c>
      <c r="P143">
        <v>16.2</v>
      </c>
      <c r="Q143">
        <v>552.70000000000005</v>
      </c>
    </row>
    <row r="144" spans="1:17" x14ac:dyDescent="0.25">
      <c r="A144" t="s">
        <v>733</v>
      </c>
      <c r="B144" t="s">
        <v>746</v>
      </c>
      <c r="C144" t="s">
        <v>747</v>
      </c>
      <c r="D144" t="s">
        <v>748</v>
      </c>
      <c r="E144">
        <v>33.299999999999997</v>
      </c>
      <c r="F144">
        <v>38</v>
      </c>
      <c r="G144">
        <v>46.3</v>
      </c>
      <c r="H144">
        <v>64.8</v>
      </c>
      <c r="I144">
        <v>61.8</v>
      </c>
      <c r="J144">
        <v>3.9</v>
      </c>
      <c r="K144">
        <v>19.3</v>
      </c>
      <c r="L144">
        <v>34.9</v>
      </c>
      <c r="M144">
        <v>3</v>
      </c>
      <c r="N144">
        <v>129.80000000000001</v>
      </c>
      <c r="O144">
        <v>68</v>
      </c>
      <c r="P144">
        <v>17.2</v>
      </c>
      <c r="Q144">
        <v>520.29999999999995</v>
      </c>
    </row>
    <row r="145" spans="1:17" x14ac:dyDescent="0.25">
      <c r="A145" t="s">
        <v>733</v>
      </c>
      <c r="B145" t="s">
        <v>749</v>
      </c>
      <c r="C145" t="s">
        <v>750</v>
      </c>
      <c r="D145" t="s">
        <v>751</v>
      </c>
      <c r="E145">
        <v>22.9</v>
      </c>
      <c r="F145">
        <v>22.3</v>
      </c>
      <c r="G145">
        <v>32.200000000000003</v>
      </c>
      <c r="H145">
        <v>78.599999999999994</v>
      </c>
      <c r="I145">
        <v>60</v>
      </c>
      <c r="J145">
        <v>12.8</v>
      </c>
      <c r="K145">
        <v>23</v>
      </c>
      <c r="L145">
        <v>33.700000000000003</v>
      </c>
      <c r="M145">
        <v>19.3</v>
      </c>
      <c r="N145">
        <v>98.8</v>
      </c>
      <c r="O145">
        <v>44.2</v>
      </c>
      <c r="P145">
        <v>13.1</v>
      </c>
      <c r="Q145">
        <v>460.9</v>
      </c>
    </row>
    <row r="146" spans="1:17" x14ac:dyDescent="0.25">
      <c r="A146" t="s">
        <v>733</v>
      </c>
      <c r="B146" t="s">
        <v>752</v>
      </c>
      <c r="C146" t="s">
        <v>753</v>
      </c>
      <c r="D146" t="s">
        <v>754</v>
      </c>
      <c r="E146">
        <v>27.1</v>
      </c>
      <c r="F146">
        <v>45.1</v>
      </c>
      <c r="G146">
        <v>41</v>
      </c>
      <c r="H146">
        <v>85.1</v>
      </c>
      <c r="I146">
        <v>38.299999999999997</v>
      </c>
      <c r="J146">
        <v>9.8000000000000007</v>
      </c>
      <c r="K146">
        <v>33.5</v>
      </c>
      <c r="L146">
        <v>6.9</v>
      </c>
      <c r="M146">
        <v>3.3</v>
      </c>
      <c r="N146">
        <v>114.5</v>
      </c>
      <c r="O146">
        <v>62</v>
      </c>
      <c r="P146">
        <v>11.7</v>
      </c>
      <c r="Q146">
        <v>478.3</v>
      </c>
    </row>
    <row r="147" spans="1:17" x14ac:dyDescent="0.25">
      <c r="A147" t="s">
        <v>733</v>
      </c>
      <c r="B147" t="s">
        <v>755</v>
      </c>
      <c r="C147" t="s">
        <v>756</v>
      </c>
      <c r="D147" t="s">
        <v>757</v>
      </c>
      <c r="E147">
        <v>21.3</v>
      </c>
      <c r="F147">
        <v>27.3</v>
      </c>
      <c r="G147">
        <v>43.9</v>
      </c>
      <c r="H147">
        <v>91.4</v>
      </c>
      <c r="I147">
        <v>48.3</v>
      </c>
      <c r="J147">
        <v>16.5</v>
      </c>
      <c r="K147">
        <v>27.8</v>
      </c>
      <c r="L147">
        <v>23</v>
      </c>
      <c r="M147">
        <v>6.9</v>
      </c>
      <c r="N147">
        <v>108.8</v>
      </c>
      <c r="O147">
        <v>55.4</v>
      </c>
      <c r="P147">
        <v>14.4</v>
      </c>
      <c r="Q147">
        <v>485</v>
      </c>
    </row>
    <row r="148" spans="1:17" x14ac:dyDescent="0.25">
      <c r="A148" t="s">
        <v>733</v>
      </c>
      <c r="B148" t="s">
        <v>758</v>
      </c>
      <c r="C148" t="s">
        <v>759</v>
      </c>
      <c r="D148" t="s">
        <v>760</v>
      </c>
      <c r="E148">
        <v>26.7</v>
      </c>
      <c r="F148">
        <v>39</v>
      </c>
      <c r="G148">
        <v>31.2</v>
      </c>
      <c r="H148">
        <v>58.9</v>
      </c>
      <c r="I148">
        <v>48.9</v>
      </c>
      <c r="J148">
        <v>6.1</v>
      </c>
      <c r="K148">
        <v>14.5</v>
      </c>
      <c r="L148">
        <v>6.9</v>
      </c>
      <c r="M148">
        <v>1.5</v>
      </c>
      <c r="N148">
        <v>102.7</v>
      </c>
      <c r="O148">
        <v>44.9</v>
      </c>
      <c r="P148">
        <v>10.5</v>
      </c>
      <c r="Q148">
        <v>391.8</v>
      </c>
    </row>
    <row r="149" spans="1:17" x14ac:dyDescent="0.25">
      <c r="A149" t="s">
        <v>733</v>
      </c>
      <c r="B149" t="s">
        <v>761</v>
      </c>
      <c r="C149" t="s">
        <v>762</v>
      </c>
      <c r="D149" t="s">
        <v>763</v>
      </c>
      <c r="E149">
        <v>18.100000000000001</v>
      </c>
      <c r="F149">
        <v>34.200000000000003</v>
      </c>
      <c r="G149">
        <v>26.5</v>
      </c>
      <c r="H149">
        <v>66.900000000000006</v>
      </c>
      <c r="I149">
        <v>42</v>
      </c>
      <c r="J149">
        <v>5.3</v>
      </c>
      <c r="K149">
        <v>30.2</v>
      </c>
      <c r="L149">
        <v>7.5</v>
      </c>
      <c r="M149">
        <v>32.5</v>
      </c>
      <c r="N149">
        <v>91.5</v>
      </c>
      <c r="O149">
        <v>53.6</v>
      </c>
      <c r="P149">
        <v>13.5</v>
      </c>
      <c r="Q149">
        <v>421.8</v>
      </c>
    </row>
    <row r="150" spans="1:17" x14ac:dyDescent="0.25">
      <c r="A150" t="s">
        <v>733</v>
      </c>
      <c r="B150" t="s">
        <v>764</v>
      </c>
      <c r="C150" t="s">
        <v>765</v>
      </c>
      <c r="D150" t="s">
        <v>766</v>
      </c>
      <c r="E150">
        <v>22.5</v>
      </c>
      <c r="F150">
        <v>35.4</v>
      </c>
      <c r="G150">
        <v>36.700000000000003</v>
      </c>
      <c r="H150">
        <v>79.3</v>
      </c>
      <c r="I150">
        <v>60.8</v>
      </c>
      <c r="J150">
        <v>10.4</v>
      </c>
      <c r="K150">
        <v>15.6</v>
      </c>
      <c r="L150">
        <v>51.7</v>
      </c>
      <c r="M150">
        <v>3.3</v>
      </c>
      <c r="N150">
        <v>134.4</v>
      </c>
      <c r="O150">
        <v>61.9</v>
      </c>
      <c r="P150">
        <v>16.5</v>
      </c>
      <c r="Q150">
        <v>528.5</v>
      </c>
    </row>
    <row r="151" spans="1:17" s="224" customFormat="1" x14ac:dyDescent="0.25">
      <c r="A151" s="224" t="s">
        <v>767</v>
      </c>
      <c r="B151" s="224" t="s">
        <v>89</v>
      </c>
      <c r="C151" s="224" t="s">
        <v>768</v>
      </c>
      <c r="D151" s="224" t="s">
        <v>769</v>
      </c>
      <c r="E151" s="224">
        <v>32.4</v>
      </c>
      <c r="F151" s="224">
        <v>133.80000000000001</v>
      </c>
      <c r="G151" s="224">
        <v>50.7</v>
      </c>
      <c r="H151" s="224">
        <v>142.9</v>
      </c>
      <c r="I151" s="224">
        <v>163.19999999999999</v>
      </c>
      <c r="J151" s="224">
        <v>76</v>
      </c>
      <c r="K151" s="224">
        <v>80.2</v>
      </c>
      <c r="L151" s="224">
        <v>70</v>
      </c>
      <c r="M151" s="224">
        <v>33.4</v>
      </c>
      <c r="N151" s="224">
        <v>309</v>
      </c>
      <c r="O151" s="224">
        <v>188.1</v>
      </c>
      <c r="P151" s="224">
        <v>8.3000000000000007</v>
      </c>
      <c r="Q151" s="224">
        <v>1288</v>
      </c>
    </row>
    <row r="152" spans="1:17" s="224" customFormat="1" x14ac:dyDescent="0.25">
      <c r="A152" s="224" t="s">
        <v>767</v>
      </c>
      <c r="B152" s="224" t="s">
        <v>770</v>
      </c>
      <c r="C152" s="224" t="s">
        <v>771</v>
      </c>
      <c r="D152" s="224" t="s">
        <v>772</v>
      </c>
      <c r="E152" s="224">
        <v>40.200000000000003</v>
      </c>
      <c r="F152" s="224">
        <v>98</v>
      </c>
      <c r="G152" s="224">
        <v>44.3</v>
      </c>
      <c r="H152" s="224">
        <v>80.2</v>
      </c>
      <c r="I152" s="224">
        <v>75</v>
      </c>
      <c r="J152" s="224">
        <v>37.299999999999997</v>
      </c>
      <c r="K152" s="224">
        <v>53.8</v>
      </c>
      <c r="L152" s="224">
        <v>59.7</v>
      </c>
      <c r="M152" s="224">
        <v>53.6</v>
      </c>
      <c r="N152" s="224">
        <v>241.7</v>
      </c>
      <c r="O152" s="224">
        <v>232.4</v>
      </c>
      <c r="P152" s="224">
        <v>10.7</v>
      </c>
      <c r="Q152" s="224">
        <v>1026.9000000000001</v>
      </c>
    </row>
    <row r="153" spans="1:17" s="224" customFormat="1" x14ac:dyDescent="0.25">
      <c r="A153" s="224" t="s">
        <v>767</v>
      </c>
      <c r="B153" s="224" t="s">
        <v>773</v>
      </c>
      <c r="C153" s="224" t="s">
        <v>774</v>
      </c>
      <c r="D153" s="224" t="s">
        <v>775</v>
      </c>
      <c r="E153" s="224">
        <v>32.799999999999997</v>
      </c>
      <c r="F153" s="224">
        <v>108.2</v>
      </c>
      <c r="G153" s="224">
        <v>65.400000000000006</v>
      </c>
      <c r="H153" s="224">
        <v>95.7</v>
      </c>
      <c r="I153" s="224">
        <v>104.5</v>
      </c>
      <c r="J153" s="224">
        <v>45.2</v>
      </c>
      <c r="K153" s="224">
        <v>79.7</v>
      </c>
      <c r="L153" s="224">
        <v>72.8</v>
      </c>
      <c r="M153" s="224">
        <v>10.199999999999999</v>
      </c>
      <c r="N153" s="224">
        <v>270.7</v>
      </c>
      <c r="O153" s="224">
        <v>161.9</v>
      </c>
      <c r="P153" s="224">
        <v>9.6999999999999993</v>
      </c>
      <c r="Q153" s="224">
        <v>1056.8</v>
      </c>
    </row>
    <row r="154" spans="1:17" x14ac:dyDescent="0.25">
      <c r="A154" t="s">
        <v>767</v>
      </c>
      <c r="B154" t="s">
        <v>776</v>
      </c>
      <c r="C154" t="s">
        <v>777</v>
      </c>
      <c r="D154" t="s">
        <v>778</v>
      </c>
      <c r="E154">
        <v>35.9</v>
      </c>
      <c r="F154">
        <v>95.3</v>
      </c>
      <c r="G154">
        <v>64</v>
      </c>
      <c r="H154">
        <v>100.2</v>
      </c>
      <c r="I154">
        <v>80.599999999999994</v>
      </c>
      <c r="J154">
        <v>22.7</v>
      </c>
      <c r="K154">
        <v>39.6</v>
      </c>
      <c r="L154">
        <v>49.8</v>
      </c>
      <c r="M154">
        <v>5.7</v>
      </c>
      <c r="N154">
        <v>200.4</v>
      </c>
      <c r="O154">
        <v>168.6</v>
      </c>
      <c r="P154">
        <v>9.6999999999999993</v>
      </c>
      <c r="Q154">
        <v>872.5</v>
      </c>
    </row>
    <row r="155" spans="1:17" x14ac:dyDescent="0.25">
      <c r="A155" t="s">
        <v>779</v>
      </c>
      <c r="B155" t="s">
        <v>780</v>
      </c>
      <c r="C155" t="s">
        <v>781</v>
      </c>
      <c r="D155" t="s">
        <v>782</v>
      </c>
      <c r="E155">
        <v>67.8</v>
      </c>
      <c r="F155">
        <v>138.30000000000001</v>
      </c>
      <c r="G155">
        <v>189.2</v>
      </c>
      <c r="H155">
        <v>176.3</v>
      </c>
      <c r="I155">
        <v>201.9</v>
      </c>
      <c r="J155">
        <v>137.19999999999999</v>
      </c>
      <c r="K155">
        <v>40.299999999999997</v>
      </c>
      <c r="L155">
        <v>209.2</v>
      </c>
      <c r="M155">
        <v>78.8</v>
      </c>
      <c r="N155">
        <v>258.89999999999998</v>
      </c>
      <c r="O155">
        <v>132.30000000000001</v>
      </c>
      <c r="P155">
        <v>25.7</v>
      </c>
      <c r="Q155">
        <v>1655.9</v>
      </c>
    </row>
    <row r="156" spans="1:17" x14ac:dyDescent="0.25">
      <c r="A156" t="s">
        <v>779</v>
      </c>
      <c r="B156" t="s">
        <v>783</v>
      </c>
      <c r="C156" t="s">
        <v>784</v>
      </c>
      <c r="D156" t="s">
        <v>785</v>
      </c>
      <c r="E156">
        <v>95.9</v>
      </c>
      <c r="F156">
        <v>120</v>
      </c>
      <c r="G156">
        <v>105.7</v>
      </c>
      <c r="H156">
        <v>119.5</v>
      </c>
      <c r="I156">
        <v>147.4</v>
      </c>
      <c r="J156">
        <v>74.8</v>
      </c>
      <c r="K156">
        <v>30.1</v>
      </c>
      <c r="L156">
        <v>136.80000000000001</v>
      </c>
      <c r="M156">
        <v>36.299999999999997</v>
      </c>
      <c r="N156">
        <v>238.7</v>
      </c>
      <c r="O156">
        <v>75.7</v>
      </c>
      <c r="P156">
        <v>8.5</v>
      </c>
      <c r="Q156">
        <v>1189.4000000000001</v>
      </c>
    </row>
    <row r="157" spans="1:17" x14ac:dyDescent="0.25">
      <c r="A157" t="s">
        <v>779</v>
      </c>
      <c r="B157" t="s">
        <v>786</v>
      </c>
      <c r="C157" t="s">
        <v>787</v>
      </c>
      <c r="D157" t="s">
        <v>788</v>
      </c>
      <c r="E157">
        <v>56.1</v>
      </c>
      <c r="F157">
        <v>89.9</v>
      </c>
      <c r="G157">
        <v>86</v>
      </c>
      <c r="H157">
        <v>106.6</v>
      </c>
      <c r="I157">
        <v>136.30000000000001</v>
      </c>
      <c r="J157">
        <v>98.6</v>
      </c>
      <c r="K157">
        <v>16.8</v>
      </c>
      <c r="L157">
        <v>98.2</v>
      </c>
      <c r="M157">
        <v>38.799999999999997</v>
      </c>
      <c r="N157">
        <v>191.3</v>
      </c>
      <c r="O157">
        <v>96.7</v>
      </c>
      <c r="P157">
        <v>10.4</v>
      </c>
      <c r="Q157">
        <v>1025.7</v>
      </c>
    </row>
    <row r="158" spans="1:17" x14ac:dyDescent="0.25">
      <c r="A158" t="s">
        <v>779</v>
      </c>
      <c r="B158" t="s">
        <v>789</v>
      </c>
      <c r="C158" t="s">
        <v>790</v>
      </c>
      <c r="D158" t="s">
        <v>791</v>
      </c>
      <c r="E158">
        <v>84.6</v>
      </c>
      <c r="F158">
        <v>108</v>
      </c>
      <c r="G158">
        <v>71</v>
      </c>
      <c r="H158">
        <v>103.8</v>
      </c>
      <c r="I158">
        <v>123</v>
      </c>
      <c r="J158">
        <v>32.799999999999997</v>
      </c>
      <c r="K158">
        <v>47</v>
      </c>
      <c r="L158">
        <v>111.2</v>
      </c>
      <c r="M158">
        <v>25.9</v>
      </c>
      <c r="N158">
        <v>167.9</v>
      </c>
      <c r="O158">
        <v>82.7</v>
      </c>
      <c r="P158">
        <v>8.6</v>
      </c>
      <c r="Q158">
        <v>966.5</v>
      </c>
    </row>
    <row r="159" spans="1:17" x14ac:dyDescent="0.25">
      <c r="A159" t="s">
        <v>779</v>
      </c>
      <c r="B159" t="s">
        <v>792</v>
      </c>
      <c r="C159" t="s">
        <v>793</v>
      </c>
      <c r="D159" t="s">
        <v>794</v>
      </c>
      <c r="E159">
        <v>84.8</v>
      </c>
      <c r="F159">
        <v>89.8</v>
      </c>
      <c r="G159">
        <v>65.099999999999994</v>
      </c>
      <c r="H159">
        <v>99.5</v>
      </c>
      <c r="I159">
        <v>78.599999999999994</v>
      </c>
      <c r="J159">
        <v>86.4</v>
      </c>
      <c r="K159">
        <v>28.3</v>
      </c>
      <c r="L159">
        <v>47.3</v>
      </c>
      <c r="M159">
        <v>24.7</v>
      </c>
      <c r="N159">
        <v>184.7</v>
      </c>
      <c r="O159">
        <v>100.7</v>
      </c>
      <c r="P159">
        <v>8.6999999999999993</v>
      </c>
      <c r="Q159">
        <v>898.6</v>
      </c>
    </row>
    <row r="160" spans="1:17" x14ac:dyDescent="0.25">
      <c r="A160" t="s">
        <v>779</v>
      </c>
      <c r="B160" t="s">
        <v>795</v>
      </c>
      <c r="C160" t="s">
        <v>796</v>
      </c>
      <c r="D160" t="s">
        <v>797</v>
      </c>
      <c r="E160">
        <v>75.5</v>
      </c>
      <c r="F160">
        <v>97.2</v>
      </c>
      <c r="G160">
        <v>85</v>
      </c>
      <c r="H160">
        <v>98.5</v>
      </c>
      <c r="I160">
        <v>111.9</v>
      </c>
      <c r="J160">
        <v>35.4</v>
      </c>
      <c r="K160">
        <v>29.6</v>
      </c>
      <c r="L160">
        <v>62.4</v>
      </c>
      <c r="M160">
        <v>50.8</v>
      </c>
      <c r="N160">
        <v>241.4</v>
      </c>
      <c r="O160">
        <v>108.7</v>
      </c>
      <c r="P160">
        <v>6.1</v>
      </c>
      <c r="Q160">
        <v>1002.5</v>
      </c>
    </row>
    <row r="161" spans="1:17" x14ac:dyDescent="0.25">
      <c r="A161" t="s">
        <v>798</v>
      </c>
      <c r="B161" t="s">
        <v>799</v>
      </c>
      <c r="C161" t="s">
        <v>800</v>
      </c>
      <c r="D161" t="s">
        <v>801</v>
      </c>
      <c r="E161">
        <v>13.5</v>
      </c>
      <c r="F161">
        <v>94.2</v>
      </c>
      <c r="G161">
        <v>28.3</v>
      </c>
      <c r="H161">
        <v>67.3</v>
      </c>
      <c r="I161">
        <v>40.1</v>
      </c>
      <c r="J161">
        <v>6.9</v>
      </c>
      <c r="K161">
        <v>4.7</v>
      </c>
      <c r="L161">
        <v>94.6</v>
      </c>
      <c r="M161">
        <v>87.3</v>
      </c>
      <c r="N161">
        <v>336.5</v>
      </c>
      <c r="O161">
        <v>67.099999999999994</v>
      </c>
      <c r="P161">
        <v>7.9</v>
      </c>
      <c r="Q161">
        <v>848.4</v>
      </c>
    </row>
    <row r="162" spans="1:17" x14ac:dyDescent="0.25">
      <c r="A162" t="s">
        <v>798</v>
      </c>
      <c r="B162" t="s">
        <v>802</v>
      </c>
      <c r="C162" t="s">
        <v>803</v>
      </c>
      <c r="D162" t="s">
        <v>804</v>
      </c>
      <c r="E162">
        <v>18.100000000000001</v>
      </c>
      <c r="F162">
        <v>83.1</v>
      </c>
      <c r="G162">
        <v>22.4</v>
      </c>
      <c r="H162">
        <v>45.6</v>
      </c>
      <c r="I162">
        <v>3</v>
      </c>
      <c r="J162">
        <v>9.3000000000000007</v>
      </c>
      <c r="K162">
        <v>2</v>
      </c>
      <c r="L162">
        <v>77.5</v>
      </c>
      <c r="M162">
        <v>44.1</v>
      </c>
      <c r="N162">
        <v>386.5</v>
      </c>
      <c r="O162">
        <v>66</v>
      </c>
      <c r="P162">
        <v>5.2</v>
      </c>
      <c r="Q162">
        <v>762.8</v>
      </c>
    </row>
    <row r="163" spans="1:17" x14ac:dyDescent="0.25">
      <c r="A163" t="s">
        <v>798</v>
      </c>
      <c r="B163" t="s">
        <v>805</v>
      </c>
      <c r="C163" t="s">
        <v>806</v>
      </c>
      <c r="D163" t="s">
        <v>807</v>
      </c>
      <c r="E163">
        <v>17.899999999999999</v>
      </c>
      <c r="F163">
        <v>102.3</v>
      </c>
      <c r="G163">
        <v>40.799999999999997</v>
      </c>
      <c r="H163">
        <v>45.5</v>
      </c>
      <c r="I163">
        <v>9.3000000000000007</v>
      </c>
      <c r="J163">
        <v>13.6</v>
      </c>
      <c r="K163">
        <v>5.6</v>
      </c>
      <c r="L163">
        <v>120.6</v>
      </c>
      <c r="M163">
        <v>74.099999999999994</v>
      </c>
      <c r="N163">
        <v>200</v>
      </c>
      <c r="O163">
        <v>42.2</v>
      </c>
      <c r="P163">
        <v>5.8</v>
      </c>
      <c r="Q163">
        <v>677.7</v>
      </c>
    </row>
    <row r="164" spans="1:17" x14ac:dyDescent="0.25">
      <c r="A164" t="s">
        <v>808</v>
      </c>
      <c r="B164" t="s">
        <v>809</v>
      </c>
      <c r="C164" t="s">
        <v>810</v>
      </c>
      <c r="D164" t="s">
        <v>811</v>
      </c>
      <c r="E164">
        <v>39.4</v>
      </c>
      <c r="F164">
        <v>36.4</v>
      </c>
      <c r="G164">
        <v>32</v>
      </c>
      <c r="H164">
        <v>67.5</v>
      </c>
      <c r="I164">
        <v>60</v>
      </c>
      <c r="J164">
        <v>11.2</v>
      </c>
      <c r="K164">
        <v>26.4</v>
      </c>
      <c r="L164">
        <v>1.5</v>
      </c>
      <c r="M164">
        <v>20.3</v>
      </c>
      <c r="N164">
        <v>166.9</v>
      </c>
      <c r="O164">
        <v>63.5</v>
      </c>
      <c r="P164">
        <v>12.3</v>
      </c>
      <c r="Q164">
        <v>537.4</v>
      </c>
    </row>
    <row r="165" spans="1:17" x14ac:dyDescent="0.25">
      <c r="A165" t="s">
        <v>808</v>
      </c>
      <c r="B165" t="s">
        <v>812</v>
      </c>
      <c r="C165" t="s">
        <v>813</v>
      </c>
      <c r="D165" t="s">
        <v>814</v>
      </c>
      <c r="E165">
        <v>26.2</v>
      </c>
      <c r="F165">
        <v>46.6</v>
      </c>
      <c r="G165">
        <v>33.200000000000003</v>
      </c>
      <c r="H165">
        <v>64.3</v>
      </c>
      <c r="I165">
        <v>48</v>
      </c>
      <c r="J165">
        <v>12</v>
      </c>
      <c r="K165">
        <v>11</v>
      </c>
      <c r="L165">
        <v>8.6</v>
      </c>
      <c r="M165">
        <v>7.7</v>
      </c>
      <c r="N165">
        <v>161.30000000000001</v>
      </c>
      <c r="O165">
        <v>71.099999999999994</v>
      </c>
      <c r="P165">
        <v>11.4</v>
      </c>
      <c r="Q165">
        <v>501.4</v>
      </c>
    </row>
    <row r="166" spans="1:17" x14ac:dyDescent="0.25">
      <c r="A166" t="s">
        <v>808</v>
      </c>
      <c r="B166" t="s">
        <v>815</v>
      </c>
      <c r="C166" t="s">
        <v>816</v>
      </c>
      <c r="D166" t="s">
        <v>817</v>
      </c>
      <c r="E166">
        <v>114.1</v>
      </c>
      <c r="F166">
        <v>43</v>
      </c>
      <c r="G166">
        <v>37.799999999999997</v>
      </c>
      <c r="H166">
        <v>79.099999999999994</v>
      </c>
      <c r="I166">
        <v>62.8</v>
      </c>
      <c r="J166">
        <v>16.3</v>
      </c>
      <c r="K166">
        <v>29.6</v>
      </c>
      <c r="L166">
        <v>6.9</v>
      </c>
      <c r="M166">
        <v>2.2000000000000002</v>
      </c>
      <c r="N166">
        <v>231.1</v>
      </c>
      <c r="O166">
        <v>80.7</v>
      </c>
      <c r="P166">
        <v>12.4</v>
      </c>
      <c r="Q166">
        <v>716</v>
      </c>
    </row>
    <row r="167" spans="1:17" x14ac:dyDescent="0.25">
      <c r="A167" t="s">
        <v>818</v>
      </c>
      <c r="B167" t="s">
        <v>819</v>
      </c>
      <c r="C167" t="s">
        <v>820</v>
      </c>
      <c r="D167" t="s">
        <v>821</v>
      </c>
      <c r="E167">
        <v>26.1</v>
      </c>
      <c r="F167">
        <v>28.1</v>
      </c>
      <c r="G167">
        <v>55</v>
      </c>
      <c r="H167">
        <v>88.1</v>
      </c>
      <c r="I167">
        <v>41.5</v>
      </c>
      <c r="J167">
        <v>14.6</v>
      </c>
      <c r="K167">
        <v>13.4</v>
      </c>
      <c r="L167">
        <v>3.8</v>
      </c>
      <c r="M167">
        <v>4.8</v>
      </c>
      <c r="N167">
        <v>123.9</v>
      </c>
      <c r="O167">
        <v>51.9</v>
      </c>
      <c r="P167">
        <v>12.8</v>
      </c>
      <c r="Q167">
        <v>464</v>
      </c>
    </row>
    <row r="168" spans="1:17" x14ac:dyDescent="0.25">
      <c r="A168" t="s">
        <v>818</v>
      </c>
      <c r="B168" t="s">
        <v>822</v>
      </c>
      <c r="C168" t="s">
        <v>823</v>
      </c>
      <c r="D168" t="s">
        <v>824</v>
      </c>
      <c r="E168">
        <v>30.1</v>
      </c>
      <c r="F168">
        <v>34.5</v>
      </c>
      <c r="G168">
        <v>70.3</v>
      </c>
      <c r="H168">
        <v>79.599999999999994</v>
      </c>
      <c r="I168">
        <v>82.1</v>
      </c>
      <c r="J168">
        <v>21.6</v>
      </c>
      <c r="K168">
        <v>16.899999999999999</v>
      </c>
      <c r="L168">
        <v>19</v>
      </c>
      <c r="M168">
        <v>14.9</v>
      </c>
      <c r="N168">
        <v>103.5</v>
      </c>
      <c r="O168">
        <v>65.8</v>
      </c>
      <c r="P168">
        <v>13.5</v>
      </c>
      <c r="Q168">
        <v>551.79999999999995</v>
      </c>
    </row>
    <row r="169" spans="1:17" x14ac:dyDescent="0.25">
      <c r="A169" t="s">
        <v>818</v>
      </c>
      <c r="B169" t="s">
        <v>825</v>
      </c>
      <c r="C169" t="s">
        <v>826</v>
      </c>
      <c r="D169" t="s">
        <v>827</v>
      </c>
      <c r="E169">
        <v>26.7</v>
      </c>
      <c r="F169">
        <v>34.6</v>
      </c>
      <c r="G169">
        <v>59.5</v>
      </c>
      <c r="H169">
        <v>86.1</v>
      </c>
      <c r="I169">
        <v>45.9</v>
      </c>
      <c r="J169">
        <v>8.4</v>
      </c>
      <c r="K169">
        <v>10</v>
      </c>
      <c r="L169">
        <v>7.1</v>
      </c>
      <c r="M169">
        <v>6</v>
      </c>
      <c r="N169">
        <v>108.7</v>
      </c>
      <c r="O169">
        <v>62.1</v>
      </c>
      <c r="P169">
        <v>12.5</v>
      </c>
      <c r="Q169">
        <v>467.6</v>
      </c>
    </row>
    <row r="170" spans="1:17" x14ac:dyDescent="0.25">
      <c r="A170" t="s">
        <v>828</v>
      </c>
      <c r="B170" t="s">
        <v>829</v>
      </c>
      <c r="C170" t="s">
        <v>830</v>
      </c>
      <c r="D170" t="s">
        <v>831</v>
      </c>
      <c r="E170">
        <v>197</v>
      </c>
      <c r="F170">
        <v>351.4</v>
      </c>
      <c r="G170">
        <v>191.4</v>
      </c>
      <c r="H170">
        <v>107.6</v>
      </c>
      <c r="I170">
        <v>255.9</v>
      </c>
      <c r="J170">
        <v>104.7</v>
      </c>
      <c r="K170">
        <v>93</v>
      </c>
      <c r="L170">
        <v>125.9</v>
      </c>
      <c r="M170">
        <v>93.1</v>
      </c>
      <c r="N170">
        <v>192</v>
      </c>
      <c r="O170">
        <v>86.7</v>
      </c>
      <c r="P170">
        <v>83.8</v>
      </c>
      <c r="Q170">
        <v>1882.5</v>
      </c>
    </row>
    <row r="171" spans="1:17" x14ac:dyDescent="0.25">
      <c r="A171" t="s">
        <v>828</v>
      </c>
      <c r="B171" t="s">
        <v>832</v>
      </c>
      <c r="C171" t="s">
        <v>833</v>
      </c>
      <c r="D171" t="s">
        <v>834</v>
      </c>
      <c r="E171">
        <v>133.1</v>
      </c>
      <c r="F171">
        <v>206.1</v>
      </c>
      <c r="G171">
        <v>123.9</v>
      </c>
      <c r="H171">
        <v>92.4</v>
      </c>
      <c r="I171">
        <v>188.9</v>
      </c>
      <c r="J171">
        <v>82.7</v>
      </c>
      <c r="K171">
        <v>141.69999999999999</v>
      </c>
      <c r="L171">
        <v>31.9</v>
      </c>
      <c r="M171">
        <v>47.9</v>
      </c>
      <c r="N171">
        <v>116.5</v>
      </c>
      <c r="O171">
        <v>51.9</v>
      </c>
      <c r="P171">
        <v>44.8</v>
      </c>
      <c r="Q171">
        <v>1261.8</v>
      </c>
    </row>
    <row r="172" spans="1:17" x14ac:dyDescent="0.25">
      <c r="A172" t="s">
        <v>828</v>
      </c>
      <c r="B172" t="s">
        <v>835</v>
      </c>
      <c r="C172" t="s">
        <v>836</v>
      </c>
      <c r="D172" t="s">
        <v>837</v>
      </c>
      <c r="E172">
        <v>123</v>
      </c>
      <c r="F172">
        <v>192.3</v>
      </c>
      <c r="G172">
        <v>112.7</v>
      </c>
      <c r="H172">
        <v>160.30000000000001</v>
      </c>
      <c r="I172">
        <v>155.4</v>
      </c>
      <c r="J172">
        <v>83.9</v>
      </c>
      <c r="K172">
        <v>58.7</v>
      </c>
      <c r="L172">
        <v>96.8</v>
      </c>
      <c r="M172">
        <v>67.8</v>
      </c>
      <c r="N172">
        <v>116.1</v>
      </c>
      <c r="O172">
        <v>43</v>
      </c>
      <c r="P172">
        <v>37.1</v>
      </c>
      <c r="Q172">
        <v>1247.0999999999999</v>
      </c>
    </row>
    <row r="173" spans="1:17" x14ac:dyDescent="0.25">
      <c r="A173" t="s">
        <v>838</v>
      </c>
      <c r="B173" t="s">
        <v>839</v>
      </c>
      <c r="C173" t="s">
        <v>840</v>
      </c>
      <c r="D173" t="s">
        <v>841</v>
      </c>
      <c r="E173">
        <v>86.3</v>
      </c>
      <c r="F173">
        <v>106.4</v>
      </c>
      <c r="G173">
        <v>100</v>
      </c>
      <c r="H173">
        <v>85.5</v>
      </c>
      <c r="I173">
        <v>27.8</v>
      </c>
      <c r="J173">
        <v>98.2</v>
      </c>
      <c r="K173">
        <v>41.4</v>
      </c>
      <c r="L173">
        <v>75.2</v>
      </c>
      <c r="M173">
        <v>70.400000000000006</v>
      </c>
      <c r="N173">
        <v>150.30000000000001</v>
      </c>
      <c r="O173">
        <v>228.4</v>
      </c>
      <c r="P173">
        <v>2.8</v>
      </c>
      <c r="Q173">
        <v>1072.7</v>
      </c>
    </row>
    <row r="174" spans="1:17" x14ac:dyDescent="0.25">
      <c r="A174" t="s">
        <v>838</v>
      </c>
      <c r="B174" t="s">
        <v>842</v>
      </c>
      <c r="C174" t="s">
        <v>843</v>
      </c>
      <c r="D174" t="s">
        <v>844</v>
      </c>
      <c r="E174">
        <v>81.099999999999994</v>
      </c>
      <c r="F174">
        <v>101.6</v>
      </c>
      <c r="G174">
        <v>83.9</v>
      </c>
      <c r="H174">
        <v>113.9</v>
      </c>
      <c r="I174">
        <v>78.7</v>
      </c>
      <c r="J174">
        <v>80.400000000000006</v>
      </c>
      <c r="K174">
        <v>29.7</v>
      </c>
      <c r="L174">
        <v>41.5</v>
      </c>
      <c r="M174">
        <v>28.7</v>
      </c>
      <c r="N174">
        <v>178.3</v>
      </c>
      <c r="O174">
        <v>129.80000000000001</v>
      </c>
      <c r="P174">
        <v>5.0999999999999996</v>
      </c>
      <c r="Q174">
        <v>952.7</v>
      </c>
    </row>
    <row r="175" spans="1:17" x14ac:dyDescent="0.25">
      <c r="A175" t="s">
        <v>838</v>
      </c>
      <c r="B175" t="s">
        <v>845</v>
      </c>
      <c r="C175" t="s">
        <v>846</v>
      </c>
      <c r="D175" t="s">
        <v>847</v>
      </c>
      <c r="E175">
        <v>72.7</v>
      </c>
      <c r="F175">
        <v>85.5</v>
      </c>
      <c r="G175">
        <v>86.1</v>
      </c>
      <c r="H175">
        <v>91.2</v>
      </c>
      <c r="I175">
        <v>44.9</v>
      </c>
      <c r="J175">
        <v>70.5</v>
      </c>
      <c r="K175">
        <v>37.6</v>
      </c>
      <c r="L175">
        <v>77.5</v>
      </c>
      <c r="M175">
        <v>39.4</v>
      </c>
      <c r="N175">
        <v>154.6</v>
      </c>
      <c r="O175">
        <v>156.19999999999999</v>
      </c>
      <c r="P175">
        <v>3.2</v>
      </c>
      <c r="Q175">
        <v>919.4</v>
      </c>
    </row>
    <row r="176" spans="1:17" x14ac:dyDescent="0.25">
      <c r="A176" t="s">
        <v>838</v>
      </c>
      <c r="B176" t="s">
        <v>848</v>
      </c>
      <c r="C176" t="s">
        <v>849</v>
      </c>
      <c r="D176" t="s">
        <v>850</v>
      </c>
      <c r="E176">
        <v>70.400000000000006</v>
      </c>
      <c r="F176">
        <v>89</v>
      </c>
      <c r="G176">
        <v>89</v>
      </c>
      <c r="H176">
        <v>77.400000000000006</v>
      </c>
      <c r="I176">
        <v>44.2</v>
      </c>
      <c r="J176">
        <v>61.4</v>
      </c>
      <c r="K176">
        <v>24.6</v>
      </c>
      <c r="L176">
        <v>35.1</v>
      </c>
      <c r="M176">
        <v>31.3</v>
      </c>
      <c r="N176">
        <v>174.5</v>
      </c>
      <c r="O176">
        <v>158.19999999999999</v>
      </c>
      <c r="P176">
        <v>3.8</v>
      </c>
      <c r="Q176">
        <v>858.9</v>
      </c>
    </row>
    <row r="177" spans="1:17" x14ac:dyDescent="0.25">
      <c r="A177" t="s">
        <v>838</v>
      </c>
      <c r="B177" t="s">
        <v>851</v>
      </c>
      <c r="C177" t="s">
        <v>852</v>
      </c>
      <c r="D177" t="s">
        <v>853</v>
      </c>
      <c r="E177">
        <v>99.7</v>
      </c>
      <c r="F177">
        <v>109.2</v>
      </c>
      <c r="G177">
        <v>107.7</v>
      </c>
      <c r="H177">
        <v>132.80000000000001</v>
      </c>
      <c r="I177">
        <v>136.9</v>
      </c>
      <c r="J177">
        <v>63.1</v>
      </c>
      <c r="K177">
        <v>22.1</v>
      </c>
      <c r="L177">
        <v>39.799999999999997</v>
      </c>
      <c r="M177">
        <v>21.6</v>
      </c>
      <c r="N177">
        <v>210.6</v>
      </c>
      <c r="O177">
        <v>139.30000000000001</v>
      </c>
      <c r="P177">
        <v>5.8</v>
      </c>
      <c r="Q177">
        <v>1088.5999999999999</v>
      </c>
    </row>
    <row r="178" spans="1:17" x14ac:dyDescent="0.25">
      <c r="A178" t="s">
        <v>838</v>
      </c>
      <c r="B178" t="s">
        <v>854</v>
      </c>
      <c r="C178" t="s">
        <v>855</v>
      </c>
      <c r="D178" t="s">
        <v>856</v>
      </c>
      <c r="E178">
        <v>67.3</v>
      </c>
      <c r="F178">
        <v>106.8</v>
      </c>
      <c r="G178">
        <v>85.4</v>
      </c>
      <c r="H178">
        <v>101.9</v>
      </c>
      <c r="I178">
        <v>76</v>
      </c>
      <c r="J178">
        <v>89.5</v>
      </c>
      <c r="K178">
        <v>28.5</v>
      </c>
      <c r="L178">
        <v>40.1</v>
      </c>
      <c r="M178">
        <v>58.3</v>
      </c>
      <c r="N178">
        <v>157</v>
      </c>
      <c r="O178">
        <v>159</v>
      </c>
      <c r="P178">
        <v>2.4</v>
      </c>
      <c r="Q178">
        <v>972.2</v>
      </c>
    </row>
    <row r="179" spans="1:17" x14ac:dyDescent="0.25">
      <c r="A179" t="s">
        <v>857</v>
      </c>
      <c r="B179" t="s">
        <v>858</v>
      </c>
      <c r="C179" t="s">
        <v>859</v>
      </c>
      <c r="D179" t="s">
        <v>860</v>
      </c>
      <c r="E179">
        <v>73.8</v>
      </c>
      <c r="F179">
        <v>91.1</v>
      </c>
      <c r="G179">
        <v>74.599999999999994</v>
      </c>
      <c r="H179">
        <v>77.099999999999994</v>
      </c>
      <c r="I179">
        <v>52.4</v>
      </c>
      <c r="J179">
        <v>43.6</v>
      </c>
      <c r="K179">
        <v>18.5</v>
      </c>
      <c r="L179">
        <v>26.2</v>
      </c>
      <c r="M179">
        <v>41.5</v>
      </c>
      <c r="N179">
        <v>142.30000000000001</v>
      </c>
      <c r="O179">
        <v>106.3</v>
      </c>
      <c r="P179">
        <v>6.9</v>
      </c>
      <c r="Q179">
        <v>754.3</v>
      </c>
    </row>
    <row r="180" spans="1:17" x14ac:dyDescent="0.25">
      <c r="A180" t="s">
        <v>857</v>
      </c>
      <c r="B180" t="s">
        <v>861</v>
      </c>
      <c r="C180" t="s">
        <v>862</v>
      </c>
      <c r="D180" t="s">
        <v>863</v>
      </c>
      <c r="E180">
        <v>77.8</v>
      </c>
      <c r="F180">
        <v>76.099999999999994</v>
      </c>
      <c r="G180">
        <v>65.2</v>
      </c>
      <c r="H180">
        <v>128.4</v>
      </c>
      <c r="I180">
        <v>75.5</v>
      </c>
      <c r="J180">
        <v>23.7</v>
      </c>
      <c r="K180">
        <v>40</v>
      </c>
      <c r="L180">
        <v>26.4</v>
      </c>
      <c r="M180">
        <v>73.400000000000006</v>
      </c>
      <c r="N180">
        <v>227.4</v>
      </c>
      <c r="O180">
        <v>125.3</v>
      </c>
      <c r="P180">
        <v>4.5999999999999996</v>
      </c>
      <c r="Q180">
        <v>943.8</v>
      </c>
    </row>
    <row r="181" spans="1:17" x14ac:dyDescent="0.25">
      <c r="A181" t="s">
        <v>857</v>
      </c>
      <c r="B181" t="s">
        <v>864</v>
      </c>
      <c r="C181" t="s">
        <v>865</v>
      </c>
      <c r="D181" t="s">
        <v>866</v>
      </c>
      <c r="E181">
        <v>75.2</v>
      </c>
      <c r="F181">
        <v>77.2</v>
      </c>
      <c r="G181">
        <v>84.3</v>
      </c>
      <c r="H181">
        <v>68.5</v>
      </c>
      <c r="I181">
        <v>37</v>
      </c>
      <c r="J181">
        <v>109.4</v>
      </c>
      <c r="K181">
        <v>10.1</v>
      </c>
      <c r="L181">
        <v>23.1</v>
      </c>
      <c r="M181">
        <v>31.7</v>
      </c>
      <c r="N181">
        <v>146.80000000000001</v>
      </c>
      <c r="O181">
        <v>102.9</v>
      </c>
      <c r="P181">
        <v>4.5999999999999996</v>
      </c>
      <c r="Q181">
        <v>770.8</v>
      </c>
    </row>
    <row r="182" spans="1:17" x14ac:dyDescent="0.25">
      <c r="A182" t="s">
        <v>857</v>
      </c>
      <c r="B182" t="s">
        <v>867</v>
      </c>
      <c r="C182" t="s">
        <v>868</v>
      </c>
      <c r="D182" t="s">
        <v>869</v>
      </c>
      <c r="E182">
        <v>87.9</v>
      </c>
      <c r="F182">
        <v>122.9</v>
      </c>
      <c r="G182">
        <v>122.7</v>
      </c>
      <c r="H182">
        <v>160.9</v>
      </c>
      <c r="I182">
        <v>147.4</v>
      </c>
      <c r="J182">
        <v>74.599999999999994</v>
      </c>
      <c r="K182">
        <v>57.5</v>
      </c>
      <c r="L182">
        <v>96.7</v>
      </c>
      <c r="M182">
        <v>22.8</v>
      </c>
      <c r="N182">
        <v>378.6</v>
      </c>
      <c r="O182">
        <v>190.3</v>
      </c>
      <c r="P182">
        <v>5.0999999999999996</v>
      </c>
      <c r="Q182">
        <v>1467.4</v>
      </c>
    </row>
    <row r="183" spans="1:17" x14ac:dyDescent="0.25">
      <c r="A183" t="s">
        <v>857</v>
      </c>
      <c r="B183" t="s">
        <v>870</v>
      </c>
      <c r="C183" t="s">
        <v>871</v>
      </c>
      <c r="D183" t="s">
        <v>872</v>
      </c>
      <c r="E183">
        <v>87.8</v>
      </c>
      <c r="F183">
        <v>102.9</v>
      </c>
      <c r="G183">
        <v>80.400000000000006</v>
      </c>
      <c r="H183">
        <v>153.1</v>
      </c>
      <c r="I183">
        <v>121</v>
      </c>
      <c r="J183">
        <v>35.200000000000003</v>
      </c>
      <c r="K183">
        <v>13.5</v>
      </c>
      <c r="L183">
        <v>81.5</v>
      </c>
      <c r="M183">
        <v>3.8</v>
      </c>
      <c r="N183">
        <v>253.1</v>
      </c>
      <c r="O183">
        <v>110.8</v>
      </c>
      <c r="P183">
        <v>5.7</v>
      </c>
      <c r="Q183">
        <v>1048.8</v>
      </c>
    </row>
    <row r="184" spans="1:17" x14ac:dyDescent="0.25">
      <c r="A184" t="s">
        <v>857</v>
      </c>
      <c r="B184" t="s">
        <v>873</v>
      </c>
      <c r="C184" t="s">
        <v>874</v>
      </c>
      <c r="D184" t="s">
        <v>875</v>
      </c>
      <c r="E184">
        <v>99.7</v>
      </c>
      <c r="F184">
        <v>79.7</v>
      </c>
      <c r="G184">
        <v>94.5</v>
      </c>
      <c r="H184">
        <v>88.4</v>
      </c>
      <c r="I184">
        <v>75.7</v>
      </c>
      <c r="J184">
        <v>20.399999999999999</v>
      </c>
      <c r="K184">
        <v>14.1</v>
      </c>
      <c r="L184">
        <v>22.6</v>
      </c>
      <c r="M184">
        <v>28.3</v>
      </c>
      <c r="N184">
        <v>219.7</v>
      </c>
      <c r="O184">
        <v>181.5</v>
      </c>
      <c r="P184">
        <v>8.9</v>
      </c>
      <c r="Q184">
        <v>933.5</v>
      </c>
    </row>
  </sheetData>
  <sheetProtection algorithmName="SHA-512" hashValue="qQnIpc5bHX4XGegmJodujCjllNxhXf0864XFf4+Kcc7CKENK6uMJOktueZJigznOMPs2DiliMY6WGmvt67gGNQ==" saltValue="oOhDC/sDczakOsM9OHGdsg==" spinCount="10000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/>
  <dimension ref="A1:AT30"/>
  <sheetViews>
    <sheetView zoomScale="85" zoomScaleNormal="85" workbookViewId="0">
      <selection activeCell="N2" sqref="N2:O3"/>
    </sheetView>
  </sheetViews>
  <sheetFormatPr defaultColWidth="11.42578125" defaultRowHeight="15" x14ac:dyDescent="0.25"/>
  <cols>
    <col min="1" max="1" width="25.42578125" customWidth="1"/>
    <col min="2" max="36" width="6.7109375" customWidth="1"/>
    <col min="37" max="37" width="8" customWidth="1"/>
    <col min="38" max="38" width="9.7109375" customWidth="1"/>
    <col min="40" max="40" width="29.5703125" customWidth="1"/>
    <col min="42" max="42" width="20" customWidth="1"/>
  </cols>
  <sheetData>
    <row r="1" spans="1:46" x14ac:dyDescent="0.25">
      <c r="A1" s="1" t="s">
        <v>49</v>
      </c>
      <c r="B1" s="7">
        <f>APLICATIU!K9</f>
        <v>1250</v>
      </c>
    </row>
    <row r="2" spans="1:46" x14ac:dyDescent="0.25">
      <c r="A2" s="1" t="s">
        <v>50</v>
      </c>
      <c r="B2" s="4">
        <v>0.8</v>
      </c>
      <c r="P2" t="s">
        <v>204</v>
      </c>
      <c r="Q2">
        <f>APLICATIU!K30*1000</f>
        <v>55200</v>
      </c>
    </row>
    <row r="4" spans="1:46" x14ac:dyDescent="0.25">
      <c r="A4" s="84" t="str">
        <f>'Aigua recollida'!A13</f>
        <v>Personalitzat</v>
      </c>
      <c r="B4">
        <v>31</v>
      </c>
      <c r="C4">
        <v>28</v>
      </c>
      <c r="D4">
        <v>31</v>
      </c>
      <c r="E4">
        <v>30</v>
      </c>
      <c r="F4">
        <v>31</v>
      </c>
      <c r="G4">
        <v>30</v>
      </c>
      <c r="H4">
        <v>31</v>
      </c>
      <c r="I4">
        <v>31</v>
      </c>
      <c r="J4">
        <v>30</v>
      </c>
      <c r="K4">
        <v>31</v>
      </c>
      <c r="L4">
        <v>30</v>
      </c>
      <c r="M4">
        <v>31</v>
      </c>
      <c r="N4">
        <v>31</v>
      </c>
      <c r="O4">
        <v>28</v>
      </c>
      <c r="P4">
        <v>31</v>
      </c>
      <c r="Q4">
        <v>30</v>
      </c>
      <c r="R4">
        <v>31</v>
      </c>
      <c r="S4">
        <v>30</v>
      </c>
      <c r="T4">
        <v>31</v>
      </c>
      <c r="U4">
        <v>31</v>
      </c>
      <c r="V4">
        <v>30</v>
      </c>
      <c r="W4">
        <v>31</v>
      </c>
      <c r="X4">
        <v>30</v>
      </c>
      <c r="Y4">
        <v>31</v>
      </c>
      <c r="Z4">
        <v>31</v>
      </c>
      <c r="AA4">
        <v>28</v>
      </c>
      <c r="AB4">
        <v>31</v>
      </c>
      <c r="AC4">
        <v>30</v>
      </c>
      <c r="AD4">
        <v>31</v>
      </c>
      <c r="AE4">
        <v>30</v>
      </c>
      <c r="AF4">
        <v>31</v>
      </c>
      <c r="AG4">
        <v>31</v>
      </c>
      <c r="AH4">
        <v>30</v>
      </c>
      <c r="AI4">
        <v>31</v>
      </c>
      <c r="AJ4">
        <v>30</v>
      </c>
      <c r="AK4">
        <v>31</v>
      </c>
    </row>
    <row r="5" spans="1:46" ht="27" customHeight="1" x14ac:dyDescent="0.25">
      <c r="A5" s="65" t="s">
        <v>34</v>
      </c>
      <c r="B5" s="5" t="s">
        <v>35</v>
      </c>
      <c r="C5" s="5" t="s">
        <v>36</v>
      </c>
      <c r="D5" s="5" t="s">
        <v>37</v>
      </c>
      <c r="E5" s="5" t="s">
        <v>38</v>
      </c>
      <c r="F5" s="5" t="s">
        <v>39</v>
      </c>
      <c r="G5" s="5" t="s">
        <v>40</v>
      </c>
      <c r="H5" s="5" t="s">
        <v>41</v>
      </c>
      <c r="I5" s="5" t="s">
        <v>42</v>
      </c>
      <c r="J5" s="5" t="s">
        <v>43</v>
      </c>
      <c r="K5" s="5" t="s">
        <v>44</v>
      </c>
      <c r="L5" s="5" t="s">
        <v>45</v>
      </c>
      <c r="M5" s="5" t="s">
        <v>46</v>
      </c>
      <c r="N5" s="5" t="s">
        <v>35</v>
      </c>
      <c r="O5" s="5" t="s">
        <v>36</v>
      </c>
      <c r="P5" s="5" t="s">
        <v>37</v>
      </c>
      <c r="Q5" s="5" t="s">
        <v>38</v>
      </c>
      <c r="R5" s="5" t="s">
        <v>39</v>
      </c>
      <c r="S5" s="5" t="s">
        <v>40</v>
      </c>
      <c r="T5" s="5" t="s">
        <v>41</v>
      </c>
      <c r="U5" s="5" t="s">
        <v>42</v>
      </c>
      <c r="V5" s="5" t="s">
        <v>43</v>
      </c>
      <c r="W5" s="5" t="s">
        <v>44</v>
      </c>
      <c r="X5" s="5" t="s">
        <v>45</v>
      </c>
      <c r="Y5" s="5" t="s">
        <v>46</v>
      </c>
      <c r="Z5" s="5" t="s">
        <v>35</v>
      </c>
      <c r="AA5" s="5" t="s">
        <v>36</v>
      </c>
      <c r="AB5" s="5" t="s">
        <v>37</v>
      </c>
      <c r="AC5" s="5" t="s">
        <v>38</v>
      </c>
      <c r="AD5" s="5" t="s">
        <v>39</v>
      </c>
      <c r="AE5" s="5" t="s">
        <v>40</v>
      </c>
      <c r="AF5" s="5" t="s">
        <v>41</v>
      </c>
      <c r="AG5" s="5" t="s">
        <v>42</v>
      </c>
      <c r="AH5" s="5" t="s">
        <v>43</v>
      </c>
      <c r="AI5" s="5" t="s">
        <v>44</v>
      </c>
      <c r="AJ5" s="5" t="s">
        <v>45</v>
      </c>
      <c r="AK5" s="5" t="s">
        <v>46</v>
      </c>
      <c r="AL5" s="5" t="s">
        <v>209</v>
      </c>
      <c r="AN5" s="101" t="s">
        <v>205</v>
      </c>
      <c r="AO5" s="102" t="s">
        <v>211</v>
      </c>
      <c r="AP5" s="102" t="s">
        <v>212</v>
      </c>
      <c r="AQ5" s="102" t="s">
        <v>213</v>
      </c>
      <c r="AR5" s="102" t="s">
        <v>250</v>
      </c>
      <c r="AS5" s="102" t="s">
        <v>222</v>
      </c>
      <c r="AT5" s="182" t="s">
        <v>260</v>
      </c>
    </row>
    <row r="6" spans="1:46" x14ac:dyDescent="0.25">
      <c r="A6" s="65" t="s">
        <v>48</v>
      </c>
      <c r="B6" s="104">
        <f>'Aigua recollida'!B16</f>
        <v>47.35</v>
      </c>
      <c r="C6" s="104">
        <f>'Aigua recollida'!C16</f>
        <v>43.61</v>
      </c>
      <c r="D6" s="104">
        <f>'Aigua recollida'!D16</f>
        <v>65.53</v>
      </c>
      <c r="E6" s="104">
        <f>'Aigua recollida'!E16</f>
        <v>84.669999999999987</v>
      </c>
      <c r="F6" s="104">
        <f>'Aigua recollida'!F16</f>
        <v>84.1</v>
      </c>
      <c r="G6" s="104">
        <f>'Aigua recollida'!G16</f>
        <v>51.46</v>
      </c>
      <c r="H6" s="104">
        <f>'Aigua recollida'!H16</f>
        <v>32.830000000000005</v>
      </c>
      <c r="I6" s="104">
        <f>'Aigua recollida'!I16</f>
        <v>62.5</v>
      </c>
      <c r="J6" s="104">
        <f>'Aigua recollida'!J16</f>
        <v>61.839999999999996</v>
      </c>
      <c r="K6" s="104">
        <f>'Aigua recollida'!K16</f>
        <v>80.02000000000001</v>
      </c>
      <c r="L6" s="104">
        <f>'Aigua recollida'!L16</f>
        <v>70.47</v>
      </c>
      <c r="M6" s="104">
        <f>'Aigua recollida'!M16</f>
        <v>19.64</v>
      </c>
      <c r="N6" s="104">
        <f>'Aigua recollida'!B16</f>
        <v>47.35</v>
      </c>
      <c r="O6" s="104">
        <f>'Aigua recollida'!C16</f>
        <v>43.61</v>
      </c>
      <c r="P6" s="104">
        <f>'Aigua recollida'!D16</f>
        <v>65.53</v>
      </c>
      <c r="Q6" s="104">
        <f>'Aigua recollida'!E16</f>
        <v>84.669999999999987</v>
      </c>
      <c r="R6" s="104">
        <f>'Aigua recollida'!F16</f>
        <v>84.1</v>
      </c>
      <c r="S6" s="104">
        <f>'Aigua recollida'!G16</f>
        <v>51.46</v>
      </c>
      <c r="T6" s="104">
        <f>'Aigua recollida'!H16</f>
        <v>32.830000000000005</v>
      </c>
      <c r="U6" s="104">
        <f>'Aigua recollida'!I16</f>
        <v>62.5</v>
      </c>
      <c r="V6" s="104">
        <f>'Aigua recollida'!J16</f>
        <v>61.839999999999996</v>
      </c>
      <c r="W6" s="104">
        <f>'Aigua recollida'!K16</f>
        <v>80.02000000000001</v>
      </c>
      <c r="X6" s="104">
        <f>'Aigua recollida'!L16</f>
        <v>70.47</v>
      </c>
      <c r="Y6" s="104">
        <f>'Aigua recollida'!M16</f>
        <v>19.64</v>
      </c>
      <c r="Z6" s="104">
        <f>'Aigua recollida'!B16</f>
        <v>47.35</v>
      </c>
      <c r="AA6" s="104">
        <f>'Aigua recollida'!C16</f>
        <v>43.61</v>
      </c>
      <c r="AB6" s="104">
        <f>'Aigua recollida'!D16</f>
        <v>65.53</v>
      </c>
      <c r="AC6" s="104">
        <f>'Aigua recollida'!E16</f>
        <v>84.669999999999987</v>
      </c>
      <c r="AD6" s="104">
        <f>'Aigua recollida'!F16</f>
        <v>84.1</v>
      </c>
      <c r="AE6" s="104">
        <f>'Aigua recollida'!G16</f>
        <v>51.46</v>
      </c>
      <c r="AF6" s="104">
        <f>'Aigua recollida'!H16</f>
        <v>32.830000000000005</v>
      </c>
      <c r="AG6" s="104">
        <f>'Aigua recollida'!I16</f>
        <v>62.5</v>
      </c>
      <c r="AH6" s="104">
        <f>'Aigua recollida'!J16</f>
        <v>61.839999999999996</v>
      </c>
      <c r="AI6" s="104">
        <f>'Aigua recollida'!K16</f>
        <v>80.02000000000001</v>
      </c>
      <c r="AJ6" s="104">
        <f>'Aigua recollida'!L16</f>
        <v>70.47</v>
      </c>
      <c r="AK6" s="104">
        <f>'Aigua recollida'!M16</f>
        <v>19.64</v>
      </c>
      <c r="AN6" s="65" t="str">
        <f>A4</f>
        <v>Personalitzat</v>
      </c>
      <c r="AO6" s="97">
        <f>AL7</f>
        <v>704.02</v>
      </c>
      <c r="AP6" s="65">
        <f>AL10</f>
        <v>94.024000000000015</v>
      </c>
      <c r="AQ6" s="65">
        <f>AL11</f>
        <v>241.10374616649102</v>
      </c>
      <c r="AR6" s="65">
        <f>AL12</f>
        <v>335.12774616649102</v>
      </c>
      <c r="AS6" s="65">
        <f>AL15</f>
        <v>335.12774616649102</v>
      </c>
    </row>
    <row r="7" spans="1:46" x14ac:dyDescent="0.25">
      <c r="A7" s="65" t="s">
        <v>221</v>
      </c>
      <c r="B7" s="104">
        <f>'Aigua recollida'!B17</f>
        <v>47.35</v>
      </c>
      <c r="C7" s="104">
        <f>'Aigua recollida'!C17</f>
        <v>43.61</v>
      </c>
      <c r="D7" s="104">
        <f>'Aigua recollida'!D17</f>
        <v>65.53</v>
      </c>
      <c r="E7" s="104">
        <f>'Aigua recollida'!E17</f>
        <v>84.67</v>
      </c>
      <c r="F7" s="104">
        <f>'Aigua recollida'!F17</f>
        <v>84.1</v>
      </c>
      <c r="G7" s="104">
        <f>'Aigua recollida'!G17</f>
        <v>51.46</v>
      </c>
      <c r="H7" s="104">
        <f>'Aigua recollida'!H17</f>
        <v>32.830000000000005</v>
      </c>
      <c r="I7" s="104">
        <f>'Aigua recollida'!I17</f>
        <v>62.5</v>
      </c>
      <c r="J7" s="104">
        <f>'Aigua recollida'!J17</f>
        <v>61.84</v>
      </c>
      <c r="K7" s="104">
        <f>'Aigua recollida'!K17</f>
        <v>80.02000000000001</v>
      </c>
      <c r="L7" s="104">
        <f>'Aigua recollida'!L17</f>
        <v>70.47</v>
      </c>
      <c r="M7" s="104">
        <f>'Aigua recollida'!M17</f>
        <v>19.64</v>
      </c>
      <c r="N7" s="104">
        <f>'Aigua recollida'!B17</f>
        <v>47.35</v>
      </c>
      <c r="O7" s="104">
        <f>'Aigua recollida'!C17</f>
        <v>43.61</v>
      </c>
      <c r="P7" s="104">
        <f>'Aigua recollida'!D17</f>
        <v>65.53</v>
      </c>
      <c r="Q7" s="104">
        <f>'Aigua recollida'!E17</f>
        <v>84.67</v>
      </c>
      <c r="R7" s="104">
        <f>'Aigua recollida'!F17</f>
        <v>84.1</v>
      </c>
      <c r="S7" s="104">
        <f>'Aigua recollida'!G17</f>
        <v>51.46</v>
      </c>
      <c r="T7" s="104">
        <f>'Aigua recollida'!H17</f>
        <v>32.830000000000005</v>
      </c>
      <c r="U7" s="104">
        <f>'Aigua recollida'!I17</f>
        <v>62.5</v>
      </c>
      <c r="V7" s="104">
        <f>'Aigua recollida'!J17</f>
        <v>61.84</v>
      </c>
      <c r="W7" s="104">
        <f>'Aigua recollida'!K17</f>
        <v>80.02000000000001</v>
      </c>
      <c r="X7" s="104">
        <f>'Aigua recollida'!L17</f>
        <v>70.47</v>
      </c>
      <c r="Y7" s="104">
        <f>'Aigua recollida'!M17</f>
        <v>19.64</v>
      </c>
      <c r="Z7" s="104">
        <f>'Aigua recollida'!B17</f>
        <v>47.35</v>
      </c>
      <c r="AA7" s="104">
        <f>'Aigua recollida'!C17</f>
        <v>43.61</v>
      </c>
      <c r="AB7" s="104">
        <f>'Aigua recollida'!D17</f>
        <v>65.53</v>
      </c>
      <c r="AC7" s="104">
        <f>'Aigua recollida'!E17</f>
        <v>84.67</v>
      </c>
      <c r="AD7" s="104">
        <f>'Aigua recollida'!F17</f>
        <v>84.1</v>
      </c>
      <c r="AE7" s="104">
        <f>'Aigua recollida'!G17</f>
        <v>51.46</v>
      </c>
      <c r="AF7" s="104">
        <f>'Aigua recollida'!H17</f>
        <v>32.830000000000005</v>
      </c>
      <c r="AG7" s="104">
        <f>'Aigua recollida'!I17</f>
        <v>62.5</v>
      </c>
      <c r="AH7" s="104">
        <f>'Aigua recollida'!J17</f>
        <v>61.84</v>
      </c>
      <c r="AI7" s="104">
        <f>'Aigua recollida'!K17</f>
        <v>80.02000000000001</v>
      </c>
      <c r="AJ7" s="104">
        <f>'Aigua recollida'!L17</f>
        <v>70.47</v>
      </c>
      <c r="AK7" s="104">
        <f>'Aigua recollida'!M17</f>
        <v>19.64</v>
      </c>
      <c r="AL7" s="100">
        <f>SUM(Z7:AK7)</f>
        <v>704.02</v>
      </c>
      <c r="AM7" t="s">
        <v>210</v>
      </c>
      <c r="AN7" s="65" t="s">
        <v>57</v>
      </c>
      <c r="AO7" s="97">
        <f>AL22</f>
        <v>704.02</v>
      </c>
      <c r="AP7" s="65">
        <f>AL25</f>
        <v>94.024000000000015</v>
      </c>
      <c r="AQ7" s="65">
        <f>AL26</f>
        <v>241.10374616649102</v>
      </c>
      <c r="AR7" s="65">
        <f>AL27</f>
        <v>335.12774616649102</v>
      </c>
      <c r="AS7" s="65">
        <f>AL30</f>
        <v>335.12774616649102</v>
      </c>
    </row>
    <row r="8" spans="1:46" x14ac:dyDescent="0.25">
      <c r="A8" s="65" t="s">
        <v>216</v>
      </c>
      <c r="B8" s="103">
        <f>B7*1000</f>
        <v>47350</v>
      </c>
      <c r="C8" s="65">
        <f t="shared" ref="C8:AK8" si="0">C7*1000</f>
        <v>43610</v>
      </c>
      <c r="D8" s="65">
        <f t="shared" si="0"/>
        <v>65530</v>
      </c>
      <c r="E8" s="65">
        <f t="shared" si="0"/>
        <v>84670</v>
      </c>
      <c r="F8" s="65">
        <f t="shared" si="0"/>
        <v>84100</v>
      </c>
      <c r="G8" s="65">
        <f t="shared" si="0"/>
        <v>51460</v>
      </c>
      <c r="H8" s="65">
        <f t="shared" si="0"/>
        <v>32830.000000000007</v>
      </c>
      <c r="I8" s="65">
        <f t="shared" si="0"/>
        <v>62500</v>
      </c>
      <c r="J8" s="65">
        <f t="shared" si="0"/>
        <v>61840</v>
      </c>
      <c r="K8" s="65">
        <f t="shared" si="0"/>
        <v>80020.000000000015</v>
      </c>
      <c r="L8" s="65">
        <f t="shared" si="0"/>
        <v>70470</v>
      </c>
      <c r="M8" s="65">
        <f t="shared" si="0"/>
        <v>19640</v>
      </c>
      <c r="N8" s="103">
        <f t="shared" si="0"/>
        <v>47350</v>
      </c>
      <c r="O8" s="65">
        <f t="shared" si="0"/>
        <v>43610</v>
      </c>
      <c r="P8" s="65">
        <f t="shared" si="0"/>
        <v>65530</v>
      </c>
      <c r="Q8" s="65">
        <f t="shared" si="0"/>
        <v>84670</v>
      </c>
      <c r="R8" s="65">
        <f t="shared" si="0"/>
        <v>84100</v>
      </c>
      <c r="S8" s="65">
        <f t="shared" si="0"/>
        <v>51460</v>
      </c>
      <c r="T8" s="65">
        <f t="shared" si="0"/>
        <v>32830.000000000007</v>
      </c>
      <c r="U8" s="65">
        <f t="shared" si="0"/>
        <v>62500</v>
      </c>
      <c r="V8" s="65">
        <f t="shared" si="0"/>
        <v>61840</v>
      </c>
      <c r="W8" s="65">
        <f t="shared" si="0"/>
        <v>80020.000000000015</v>
      </c>
      <c r="X8" s="65">
        <f t="shared" si="0"/>
        <v>70470</v>
      </c>
      <c r="Y8" s="65">
        <f t="shared" si="0"/>
        <v>19640</v>
      </c>
      <c r="Z8" s="103">
        <f t="shared" si="0"/>
        <v>47350</v>
      </c>
      <c r="AA8" s="65">
        <f t="shared" si="0"/>
        <v>43610</v>
      </c>
      <c r="AB8" s="106">
        <f t="shared" si="0"/>
        <v>65530</v>
      </c>
      <c r="AC8" s="106">
        <f t="shared" si="0"/>
        <v>84670</v>
      </c>
      <c r="AD8" s="106">
        <f t="shared" si="0"/>
        <v>84100</v>
      </c>
      <c r="AE8" s="106">
        <f t="shared" si="0"/>
        <v>51460</v>
      </c>
      <c r="AF8" s="106">
        <f t="shared" si="0"/>
        <v>32830.000000000007</v>
      </c>
      <c r="AG8" s="106">
        <f t="shared" si="0"/>
        <v>62500</v>
      </c>
      <c r="AH8" s="106">
        <f t="shared" si="0"/>
        <v>61840</v>
      </c>
      <c r="AI8" s="106">
        <f t="shared" si="0"/>
        <v>80020.000000000015</v>
      </c>
      <c r="AJ8" s="106">
        <f t="shared" si="0"/>
        <v>70470</v>
      </c>
      <c r="AK8" s="106">
        <f t="shared" si="0"/>
        <v>19640</v>
      </c>
      <c r="AP8" t="s">
        <v>249</v>
      </c>
      <c r="AQ8">
        <f>VLOOKUP(APLICATIU!J5,'Balanç anual'!AN6:AO7,2,FALSE)</f>
        <v>704.02</v>
      </c>
    </row>
    <row r="9" spans="1:46" x14ac:dyDescent="0.25">
      <c r="A9" s="65" t="s">
        <v>207</v>
      </c>
      <c r="B9" s="103">
        <f>MIN(Q2,B8)</f>
        <v>47350</v>
      </c>
      <c r="C9" s="65">
        <f>MIN($Q$2,IF(B13&lt;0,C8,IF(B13=0,B14+C8)))</f>
        <v>55200</v>
      </c>
      <c r="D9" s="65">
        <f t="shared" ref="D9:H9" si="1">MIN($Q$2,IF(C13&lt;0,D8,IF(C13=0,C14+D8)))</f>
        <v>55200</v>
      </c>
      <c r="E9" s="65">
        <f t="shared" si="1"/>
        <v>55200</v>
      </c>
      <c r="F9" s="65">
        <f t="shared" si="1"/>
        <v>55200</v>
      </c>
      <c r="G9" s="65">
        <f t="shared" si="1"/>
        <v>55200</v>
      </c>
      <c r="H9" s="65">
        <f t="shared" si="1"/>
        <v>46353.723076923088</v>
      </c>
      <c r="I9" s="65">
        <f>MIN($Q$2,IF(H13&lt;0,I8,IF(H13=0,H14+I8)))</f>
        <v>55200</v>
      </c>
      <c r="J9" s="65">
        <f t="shared" ref="J9" si="2">MIN($Q$2,IF(I13&lt;0,J8,IF(I13=0,I14+J8)))</f>
        <v>55200</v>
      </c>
      <c r="K9" s="65">
        <f t="shared" ref="K9" si="3">MIN($Q$2,IF(J13&lt;0,K8,IF(J13=0,J14+K8)))</f>
        <v>55200</v>
      </c>
      <c r="L9" s="65">
        <f t="shared" ref="L9" si="4">MIN($Q$2,IF(K13&lt;0,L8,IF(K13=0,K14+L8)))</f>
        <v>55200</v>
      </c>
      <c r="M9" s="65">
        <f t="shared" ref="M9" si="5">MIN($Q$2,IF(L13&lt;0,M8,IF(L13=0,L14+M8)))</f>
        <v>55200</v>
      </c>
      <c r="N9" s="65">
        <f t="shared" ref="N9:O9" si="6">MIN($Q$2,IF(M13&lt;0,N8,IF(M13=0,M14+N8)))</f>
        <v>55200</v>
      </c>
      <c r="O9" s="65">
        <f t="shared" si="6"/>
        <v>55200</v>
      </c>
      <c r="P9" s="65">
        <f t="shared" ref="P9" si="7">MIN($Q$2,IF(O13&lt;0,P8,IF(O13=0,O14+P8)))</f>
        <v>55200</v>
      </c>
      <c r="Q9" s="65">
        <f t="shared" ref="Q9" si="8">MIN($Q$2,IF(P13&lt;0,Q8,IF(P13=0,P14+Q8)))</f>
        <v>55200</v>
      </c>
      <c r="R9" s="65">
        <f t="shared" ref="R9" si="9">MIN($Q$2,IF(Q13&lt;0,R8,IF(Q13=0,Q14+R8)))</f>
        <v>55200</v>
      </c>
      <c r="S9" s="65">
        <f t="shared" ref="S9" si="10">MIN($Q$2,IF(R13&lt;0,S8,IF(R13=0,R14+S8)))</f>
        <v>55200</v>
      </c>
      <c r="T9" s="65">
        <f t="shared" ref="T9:U9" si="11">MIN($Q$2,IF(S13&lt;0,T8,IF(S13=0,S14+T8)))</f>
        <v>46353.723076923088</v>
      </c>
      <c r="U9" s="65">
        <f t="shared" si="11"/>
        <v>55200</v>
      </c>
      <c r="V9" s="65">
        <f t="shared" ref="V9" si="12">MIN($Q$2,IF(U13&lt;0,V8,IF(U13=0,U14+V8)))</f>
        <v>55200</v>
      </c>
      <c r="W9" s="65">
        <f t="shared" ref="W9" si="13">MIN($Q$2,IF(V13&lt;0,W8,IF(V13=0,V14+W8)))</f>
        <v>55200</v>
      </c>
      <c r="X9" s="65">
        <f t="shared" ref="X9" si="14">MIN($Q$2,IF(W13&lt;0,X8,IF(W13=0,W14+X8)))</f>
        <v>55200</v>
      </c>
      <c r="Y9" s="65">
        <f t="shared" ref="Y9" si="15">MIN($Q$2,IF(X13&lt;0,Y8,IF(X13=0,X14+Y8)))</f>
        <v>55200</v>
      </c>
      <c r="Z9" s="65">
        <f t="shared" ref="Z9:AA9" si="16">MIN($Q$2,IF(Y13&lt;0,Z8,IF(Y13=0,Y14+Z8)))</f>
        <v>55200</v>
      </c>
      <c r="AA9" s="65">
        <f t="shared" si="16"/>
        <v>55200</v>
      </c>
      <c r="AB9" s="65">
        <f t="shared" ref="AB9" si="17">MIN($Q$2,IF(AA13&lt;0,AB8,IF(AA13=0,AA14+AB8)))</f>
        <v>55200</v>
      </c>
      <c r="AC9" s="65">
        <f t="shared" ref="AC9" si="18">MIN($Q$2,IF(AB13&lt;0,AC8,IF(AB13=0,AB14+AC8)))</f>
        <v>55200</v>
      </c>
      <c r="AD9" s="65">
        <f t="shared" ref="AD9" si="19">MIN($Q$2,IF(AC13&lt;0,AD8,IF(AC13=0,AC14+AD8)))</f>
        <v>55200</v>
      </c>
      <c r="AE9" s="65">
        <f t="shared" ref="AE9" si="20">MIN($Q$2,IF(AD13&lt;0,AE8,IF(AD13=0,AD14+AE8)))</f>
        <v>55200</v>
      </c>
      <c r="AF9" s="65">
        <f t="shared" ref="AF9:AG9" si="21">MIN($Q$2,IF(AE13&lt;0,AF8,IF(AE13=0,AE14+AF8)))</f>
        <v>46353.723076923088</v>
      </c>
      <c r="AG9" s="65">
        <f t="shared" si="21"/>
        <v>55200</v>
      </c>
      <c r="AH9" s="65">
        <f t="shared" ref="AH9" si="22">MIN($Q$2,IF(AG13&lt;0,AH8,IF(AG13=0,AG14+AH8)))</f>
        <v>55200</v>
      </c>
      <c r="AI9" s="65">
        <f t="shared" ref="AI9" si="23">MIN($Q$2,IF(AH13&lt;0,AI8,IF(AH13=0,AH14+AI8)))</f>
        <v>55200</v>
      </c>
      <c r="AJ9" s="65">
        <f t="shared" ref="AJ9" si="24">MIN($Q$2,IF(AI13&lt;0,AJ8,IF(AI13=0,AI14+AJ8)))</f>
        <v>55200</v>
      </c>
      <c r="AK9" s="65">
        <f t="shared" ref="AK9" si="25">MIN($Q$2,IF(AJ13&lt;0,AK8,IF(AJ13=0,AJ14+AK8)))</f>
        <v>55200</v>
      </c>
      <c r="AL9" s="99"/>
      <c r="AP9" t="s">
        <v>206</v>
      </c>
      <c r="AQ9">
        <f>VLOOKUP(APLICATIU!J5,'Balanç anual'!AN6:AR7,5,FALSE)</f>
        <v>335.12774616649102</v>
      </c>
    </row>
    <row r="10" spans="1:46" x14ac:dyDescent="0.25">
      <c r="A10" s="65" t="s">
        <v>217</v>
      </c>
      <c r="B10" s="105">
        <f>Consum!$C$19*B4</f>
        <v>7985.6</v>
      </c>
      <c r="C10" s="87">
        <f>Consum!$C$19*C4</f>
        <v>7212.8000000000011</v>
      </c>
      <c r="D10" s="87">
        <f>Consum!$C$19*D4</f>
        <v>7985.6</v>
      </c>
      <c r="E10" s="87">
        <f>Consum!$C$19*E4</f>
        <v>7728.0000000000009</v>
      </c>
      <c r="F10" s="87">
        <f>Consum!$C$19*F4</f>
        <v>7985.6</v>
      </c>
      <c r="G10" s="87">
        <f>Consum!$C$19*G4</f>
        <v>7728.0000000000009</v>
      </c>
      <c r="H10" s="87">
        <f>Consum!$C$19*H4</f>
        <v>7985.6</v>
      </c>
      <c r="I10" s="87">
        <f>Consum!$C$19*I4</f>
        <v>7985.6</v>
      </c>
      <c r="J10" s="87">
        <f>Consum!$C$19*J4</f>
        <v>7728.0000000000009</v>
      </c>
      <c r="K10" s="87">
        <f>Consum!$C$19*K4</f>
        <v>7985.6</v>
      </c>
      <c r="L10" s="87">
        <f>Consum!$C$19*L4</f>
        <v>7728.0000000000009</v>
      </c>
      <c r="M10" s="87">
        <f>Consum!$C$19*M4</f>
        <v>7985.6</v>
      </c>
      <c r="N10" s="105">
        <f>Consum!$C$19*N4</f>
        <v>7985.6</v>
      </c>
      <c r="O10" s="87">
        <f>Consum!$C$19*O4</f>
        <v>7212.8000000000011</v>
      </c>
      <c r="P10" s="107">
        <f>Consum!$C$19*P4</f>
        <v>7985.6</v>
      </c>
      <c r="Q10" s="107">
        <f>Consum!$C$19*Q4</f>
        <v>7728.0000000000009</v>
      </c>
      <c r="R10" s="107">
        <f>Consum!$C$19*R4</f>
        <v>7985.6</v>
      </c>
      <c r="S10" s="107">
        <f>Consum!$C$19*S4</f>
        <v>7728.0000000000009</v>
      </c>
      <c r="T10" s="107">
        <f>Consum!$C$19*T4</f>
        <v>7985.6</v>
      </c>
      <c r="U10" s="107">
        <f>Consum!$C$19*U4</f>
        <v>7985.6</v>
      </c>
      <c r="V10" s="107">
        <f>Consum!$C$19*V4</f>
        <v>7728.0000000000009</v>
      </c>
      <c r="W10" s="107">
        <f>Consum!$C$19*W4</f>
        <v>7985.6</v>
      </c>
      <c r="X10" s="107">
        <f>Consum!$C$19*X4</f>
        <v>7728.0000000000009</v>
      </c>
      <c r="Y10" s="87">
        <f>Consum!$C$19*Y4</f>
        <v>7985.6</v>
      </c>
      <c r="Z10" s="105">
        <f>Consum!$C$19*Z4</f>
        <v>7985.6</v>
      </c>
      <c r="AA10" s="87">
        <f>Consum!$C$19*AA4</f>
        <v>7212.8000000000011</v>
      </c>
      <c r="AB10" s="107">
        <f>Consum!$C$19*AB4</f>
        <v>7985.6</v>
      </c>
      <c r="AC10" s="107">
        <f>Consum!$C$19*AC4</f>
        <v>7728.0000000000009</v>
      </c>
      <c r="AD10" s="107">
        <f>Consum!$C$19*AD4</f>
        <v>7985.6</v>
      </c>
      <c r="AE10" s="107">
        <f>Consum!$C$19*AE4</f>
        <v>7728.0000000000009</v>
      </c>
      <c r="AF10" s="107">
        <f>Consum!$C$19*AF4</f>
        <v>7985.6</v>
      </c>
      <c r="AG10" s="107">
        <f>Consum!$C$19*AG4</f>
        <v>7985.6</v>
      </c>
      <c r="AH10" s="107">
        <f>Consum!$C$19*AH4</f>
        <v>7728.0000000000009</v>
      </c>
      <c r="AI10" s="107">
        <f>Consum!$C$19*AI4</f>
        <v>7985.6</v>
      </c>
      <c r="AJ10" s="107">
        <f>Consum!$C$19*AJ4</f>
        <v>7728.0000000000009</v>
      </c>
      <c r="AK10" s="107">
        <f>Consum!$C$19*AK4</f>
        <v>7985.6</v>
      </c>
      <c r="AL10">
        <f>(SUM(Z10:AK10)/1000)</f>
        <v>94.024000000000015</v>
      </c>
      <c r="AM10" t="s">
        <v>210</v>
      </c>
      <c r="AN10" t="s">
        <v>877</v>
      </c>
      <c r="AO10" s="100"/>
    </row>
    <row r="11" spans="1:46" x14ac:dyDescent="0.25">
      <c r="A11" s="65" t="s">
        <v>160</v>
      </c>
      <c r="B11" s="103">
        <f>'Necessitats de reg'!B77*B4</f>
        <v>6735.2989462592195</v>
      </c>
      <c r="C11" s="65">
        <f>'Necessitats de reg'!C77*C4</f>
        <v>9505.1838988408854</v>
      </c>
      <c r="D11" s="65">
        <f>'Necessitats de reg'!D77*D4</f>
        <v>15936.89359325606</v>
      </c>
      <c r="E11" s="65">
        <f>'Necessitats de reg'!E77*E4</f>
        <v>21249.406828240248</v>
      </c>
      <c r="F11" s="65">
        <f>'Necessitats de reg'!F77*F4</f>
        <v>27894.466469968385</v>
      </c>
      <c r="G11" s="65">
        <f>'Necessitats de reg'!G77*G4</f>
        <v>33948.276923076919</v>
      </c>
      <c r="H11" s="65">
        <f>'Necessitats de reg'!H77*H4</f>
        <v>37546.646153846144</v>
      </c>
      <c r="I11" s="65">
        <f>'Necessitats de reg'!I77*I4</f>
        <v>34517.784615384611</v>
      </c>
      <c r="J11" s="65">
        <f>'Necessitats de reg'!J77*J4</f>
        <v>23935.694162276075</v>
      </c>
      <c r="K11" s="65">
        <f>'Necessitats de reg'!K77*K4</f>
        <v>15403.425281348787</v>
      </c>
      <c r="L11" s="65">
        <f>'Necessitats de reg'!L77*L4</f>
        <v>7969.8531085352979</v>
      </c>
      <c r="M11" s="65">
        <f>'Necessitats de reg'!M77*M4</f>
        <v>6460.8161854583768</v>
      </c>
      <c r="N11" s="103">
        <f>'Necessitats de reg'!B77*N4</f>
        <v>6735.2989462592195</v>
      </c>
      <c r="O11" s="65">
        <f>'Necessitats de reg'!C77*O4</f>
        <v>9505.1838988408854</v>
      </c>
      <c r="P11" s="106">
        <f>'Necessitats de reg'!D77*P4</f>
        <v>15936.89359325606</v>
      </c>
      <c r="Q11" s="106">
        <f>'Necessitats de reg'!E77*Q4</f>
        <v>21249.406828240248</v>
      </c>
      <c r="R11" s="106">
        <f>'Necessitats de reg'!F77*R4</f>
        <v>27894.466469968385</v>
      </c>
      <c r="S11" s="106">
        <f>'Necessitats de reg'!G77*S4</f>
        <v>33948.276923076919</v>
      </c>
      <c r="T11" s="106">
        <f>'Necessitats de reg'!H77*T4</f>
        <v>37546.646153846144</v>
      </c>
      <c r="U11" s="106">
        <f>'Necessitats de reg'!I77*U4</f>
        <v>34517.784615384611</v>
      </c>
      <c r="V11" s="106">
        <f>'Necessitats de reg'!J77*V4</f>
        <v>23935.694162276075</v>
      </c>
      <c r="W11" s="106">
        <f>'Necessitats de reg'!K77*W4</f>
        <v>15403.425281348787</v>
      </c>
      <c r="X11" s="106">
        <f>'Necessitats de reg'!L77*X4</f>
        <v>7969.8531085352979</v>
      </c>
      <c r="Y11" s="65">
        <f>'Necessitats de reg'!M77*Y4</f>
        <v>6460.8161854583768</v>
      </c>
      <c r="Z11" s="103">
        <f>'Necessitats de reg'!B77*Z4</f>
        <v>6735.2989462592195</v>
      </c>
      <c r="AA11" s="65">
        <f>'Necessitats de reg'!C77*AA4</f>
        <v>9505.1838988408854</v>
      </c>
      <c r="AB11" s="106">
        <f>'Necessitats de reg'!D77*AB4</f>
        <v>15936.89359325606</v>
      </c>
      <c r="AC11" s="106">
        <f>'Necessitats de reg'!E77*AC4</f>
        <v>21249.406828240248</v>
      </c>
      <c r="AD11" s="106">
        <f>'Necessitats de reg'!F77*AD4</f>
        <v>27894.466469968385</v>
      </c>
      <c r="AE11" s="106">
        <f>'Necessitats de reg'!G77*AE4</f>
        <v>33948.276923076919</v>
      </c>
      <c r="AF11" s="106">
        <f>'Necessitats de reg'!H77*AF4</f>
        <v>37546.646153846144</v>
      </c>
      <c r="AG11" s="106">
        <f>'Necessitats de reg'!I77*AG4</f>
        <v>34517.784615384611</v>
      </c>
      <c r="AH11" s="106">
        <f>'Necessitats de reg'!J77*AH4</f>
        <v>23935.694162276075</v>
      </c>
      <c r="AI11" s="106">
        <f>'Necessitats de reg'!K77*AI4</f>
        <v>15403.425281348787</v>
      </c>
      <c r="AJ11" s="106">
        <f>'Necessitats de reg'!L77*AJ4</f>
        <v>7969.8531085352979</v>
      </c>
      <c r="AK11" s="106">
        <f>'Necessitats de reg'!M77*AK4</f>
        <v>6460.8161854583768</v>
      </c>
      <c r="AL11">
        <f>(SUM(Z11:AK11)/1000)</f>
        <v>241.10374616649102</v>
      </c>
      <c r="AM11" t="s">
        <v>210</v>
      </c>
      <c r="AN11" s="65" t="s">
        <v>184</v>
      </c>
      <c r="AO11">
        <f>T9</f>
        <v>46353.723076923088</v>
      </c>
      <c r="AP11">
        <f>AO11/APLICATIU!$E$35</f>
        <v>30.233670252951914</v>
      </c>
    </row>
    <row r="12" spans="1:46" x14ac:dyDescent="0.25">
      <c r="A12" s="65" t="s">
        <v>219</v>
      </c>
      <c r="B12" s="105">
        <f>B11+B10</f>
        <v>14720.89894625922</v>
      </c>
      <c r="C12" s="87">
        <f t="shared" ref="C12:M12" si="26">C11+C10</f>
        <v>16717.983898840888</v>
      </c>
      <c r="D12" s="87">
        <f t="shared" si="26"/>
        <v>23922.493593256062</v>
      </c>
      <c r="E12" s="87">
        <f t="shared" si="26"/>
        <v>28977.406828240248</v>
      </c>
      <c r="F12" s="87">
        <f t="shared" si="26"/>
        <v>35880.066469968384</v>
      </c>
      <c r="G12" s="87">
        <f t="shared" si="26"/>
        <v>41676.276923076919</v>
      </c>
      <c r="H12" s="87">
        <f t="shared" si="26"/>
        <v>45532.246153846143</v>
      </c>
      <c r="I12" s="87">
        <f t="shared" si="26"/>
        <v>42503.38461538461</v>
      </c>
      <c r="J12" s="87">
        <f t="shared" si="26"/>
        <v>31663.694162276075</v>
      </c>
      <c r="K12" s="87">
        <f t="shared" si="26"/>
        <v>23389.02528134879</v>
      </c>
      <c r="L12" s="87">
        <f t="shared" si="26"/>
        <v>15697.853108535299</v>
      </c>
      <c r="M12" s="87">
        <f t="shared" si="26"/>
        <v>14446.416185458376</v>
      </c>
      <c r="N12" s="105">
        <f>N11+N10</f>
        <v>14720.89894625922</v>
      </c>
      <c r="O12" s="87">
        <f t="shared" ref="O12:Y12" si="27">O11+O10</f>
        <v>16717.983898840888</v>
      </c>
      <c r="P12" s="107">
        <f t="shared" si="27"/>
        <v>23922.493593256062</v>
      </c>
      <c r="Q12" s="107">
        <f t="shared" si="27"/>
        <v>28977.406828240248</v>
      </c>
      <c r="R12" s="107">
        <f t="shared" si="27"/>
        <v>35880.066469968384</v>
      </c>
      <c r="S12" s="107">
        <f t="shared" si="27"/>
        <v>41676.276923076919</v>
      </c>
      <c r="T12" s="107">
        <f t="shared" si="27"/>
        <v>45532.246153846143</v>
      </c>
      <c r="U12" s="107">
        <f t="shared" si="27"/>
        <v>42503.38461538461</v>
      </c>
      <c r="V12" s="107">
        <f t="shared" si="27"/>
        <v>31663.694162276075</v>
      </c>
      <c r="W12" s="107">
        <f t="shared" si="27"/>
        <v>23389.02528134879</v>
      </c>
      <c r="X12" s="107">
        <f t="shared" si="27"/>
        <v>15697.853108535299</v>
      </c>
      <c r="Y12" s="87">
        <f t="shared" si="27"/>
        <v>14446.416185458376</v>
      </c>
      <c r="Z12" s="105">
        <f>Z11+Z10</f>
        <v>14720.89894625922</v>
      </c>
      <c r="AA12" s="87">
        <f t="shared" ref="AA12:AK12" si="28">AA11+AA10</f>
        <v>16717.983898840888</v>
      </c>
      <c r="AB12" s="87">
        <f t="shared" si="28"/>
        <v>23922.493593256062</v>
      </c>
      <c r="AC12" s="87">
        <f t="shared" si="28"/>
        <v>28977.406828240248</v>
      </c>
      <c r="AD12" s="87">
        <f t="shared" si="28"/>
        <v>35880.066469968384</v>
      </c>
      <c r="AE12" s="87">
        <f t="shared" si="28"/>
        <v>41676.276923076919</v>
      </c>
      <c r="AF12" s="87">
        <f t="shared" si="28"/>
        <v>45532.246153846143</v>
      </c>
      <c r="AG12" s="87">
        <f t="shared" si="28"/>
        <v>42503.38461538461</v>
      </c>
      <c r="AH12" s="87">
        <f t="shared" si="28"/>
        <v>31663.694162276075</v>
      </c>
      <c r="AI12" s="87">
        <f t="shared" si="28"/>
        <v>23389.02528134879</v>
      </c>
      <c r="AJ12" s="87">
        <f t="shared" si="28"/>
        <v>15697.853108535299</v>
      </c>
      <c r="AK12" s="87">
        <f t="shared" si="28"/>
        <v>14446.416185458376</v>
      </c>
      <c r="AL12">
        <f>(SUM(Z12:AK12)/1000)</f>
        <v>335.12774616649102</v>
      </c>
      <c r="AM12" t="s">
        <v>210</v>
      </c>
    </row>
    <row r="13" spans="1:46" x14ac:dyDescent="0.25">
      <c r="A13" s="65" t="s">
        <v>218</v>
      </c>
      <c r="B13" s="65">
        <f>IF(B9-B12&lt;0,B9-B12,0)</f>
        <v>0</v>
      </c>
      <c r="C13" s="65">
        <f t="shared" ref="C13:M13" si="29">IF(C9-C12&lt;0,C9-C12,0)</f>
        <v>0</v>
      </c>
      <c r="D13" s="65">
        <f t="shared" si="29"/>
        <v>0</v>
      </c>
      <c r="E13" s="65">
        <f t="shared" si="29"/>
        <v>0</v>
      </c>
      <c r="F13" s="65">
        <f t="shared" si="29"/>
        <v>0</v>
      </c>
      <c r="G13" s="65">
        <f t="shared" si="29"/>
        <v>0</v>
      </c>
      <c r="H13" s="65">
        <f t="shared" si="29"/>
        <v>0</v>
      </c>
      <c r="I13" s="65">
        <f t="shared" si="29"/>
        <v>0</v>
      </c>
      <c r="J13" s="65">
        <f t="shared" si="29"/>
        <v>0</v>
      </c>
      <c r="K13" s="65">
        <f t="shared" si="29"/>
        <v>0</v>
      </c>
      <c r="L13" s="65">
        <f t="shared" si="29"/>
        <v>0</v>
      </c>
      <c r="M13" s="65">
        <f t="shared" si="29"/>
        <v>0</v>
      </c>
      <c r="N13" s="65">
        <f>IF(N9-N12&lt;0,N9-N12,0)</f>
        <v>0</v>
      </c>
      <c r="O13" s="65">
        <f t="shared" ref="O13:Y13" si="30">IF(O9-O12&lt;0,O9-O12,0)</f>
        <v>0</v>
      </c>
      <c r="P13" s="65">
        <f t="shared" si="30"/>
        <v>0</v>
      </c>
      <c r="Q13" s="65">
        <f t="shared" si="30"/>
        <v>0</v>
      </c>
      <c r="R13" s="65">
        <f t="shared" si="30"/>
        <v>0</v>
      </c>
      <c r="S13" s="65">
        <f t="shared" si="30"/>
        <v>0</v>
      </c>
      <c r="T13" s="65">
        <f t="shared" si="30"/>
        <v>0</v>
      </c>
      <c r="U13" s="65">
        <f t="shared" si="30"/>
        <v>0</v>
      </c>
      <c r="V13" s="65">
        <f t="shared" si="30"/>
        <v>0</v>
      </c>
      <c r="W13" s="65">
        <f t="shared" si="30"/>
        <v>0</v>
      </c>
      <c r="X13" s="65">
        <f t="shared" si="30"/>
        <v>0</v>
      </c>
      <c r="Y13" s="65">
        <f t="shared" si="30"/>
        <v>0</v>
      </c>
      <c r="Z13" s="65">
        <f>IF(Z9-Z12&lt;0,Z9-Z12,0)</f>
        <v>0</v>
      </c>
      <c r="AA13" s="65">
        <f t="shared" ref="AA13:AK13" si="31">IF(AA9-AA12&lt;0,AA9-AA12,0)</f>
        <v>0</v>
      </c>
      <c r="AB13" s="65">
        <f t="shared" si="31"/>
        <v>0</v>
      </c>
      <c r="AC13" s="65">
        <f t="shared" si="31"/>
        <v>0</v>
      </c>
      <c r="AD13" s="65">
        <f t="shared" si="31"/>
        <v>0</v>
      </c>
      <c r="AE13" s="65">
        <f t="shared" si="31"/>
        <v>0</v>
      </c>
      <c r="AF13" s="65">
        <f t="shared" si="31"/>
        <v>0</v>
      </c>
      <c r="AG13" s="65">
        <f t="shared" si="31"/>
        <v>0</v>
      </c>
      <c r="AH13" s="65">
        <f t="shared" si="31"/>
        <v>0</v>
      </c>
      <c r="AI13" s="65">
        <f t="shared" si="31"/>
        <v>0</v>
      </c>
      <c r="AJ13" s="65">
        <f t="shared" si="31"/>
        <v>0</v>
      </c>
      <c r="AK13" s="65">
        <f t="shared" si="31"/>
        <v>0</v>
      </c>
      <c r="AL13">
        <f>(SUM(Z13:AK13)/1000)</f>
        <v>0</v>
      </c>
      <c r="AM13" t="s">
        <v>210</v>
      </c>
    </row>
    <row r="14" spans="1:46" x14ac:dyDescent="0.25">
      <c r="A14" s="65" t="s">
        <v>220</v>
      </c>
      <c r="B14" s="65">
        <f>IF(B9-B12&gt;0,B9-B12,0)</f>
        <v>32629.101053740778</v>
      </c>
      <c r="C14" s="65">
        <f t="shared" ref="C14:M14" si="32">IF(C9-C12&gt;0,C9-C12,0)</f>
        <v>38482.016101159112</v>
      </c>
      <c r="D14" s="65">
        <f t="shared" si="32"/>
        <v>31277.506406743938</v>
      </c>
      <c r="E14" s="65">
        <f t="shared" si="32"/>
        <v>26222.593171759752</v>
      </c>
      <c r="F14" s="65">
        <f t="shared" si="32"/>
        <v>19319.933530031616</v>
      </c>
      <c r="G14" s="65">
        <f t="shared" si="32"/>
        <v>13523.723076923081</v>
      </c>
      <c r="H14" s="65">
        <f t="shared" si="32"/>
        <v>821.47692307694524</v>
      </c>
      <c r="I14" s="65">
        <f t="shared" si="32"/>
        <v>12696.61538461539</v>
      </c>
      <c r="J14" s="65">
        <f t="shared" si="32"/>
        <v>23536.305837723925</v>
      </c>
      <c r="K14" s="65">
        <f t="shared" si="32"/>
        <v>31810.97471865121</v>
      </c>
      <c r="L14" s="65">
        <f t="shared" si="32"/>
        <v>39502.146891464698</v>
      </c>
      <c r="M14" s="65">
        <f t="shared" si="32"/>
        <v>40753.58381454162</v>
      </c>
      <c r="N14" s="65">
        <f>IF(N9-N12&gt;0,N9-N12,0)</f>
        <v>40479.101053740778</v>
      </c>
      <c r="O14" s="65">
        <f t="shared" ref="O14:Y14" si="33">IF(O9-O12&gt;0,O9-O12,0)</f>
        <v>38482.016101159112</v>
      </c>
      <c r="P14" s="65">
        <f t="shared" si="33"/>
        <v>31277.506406743938</v>
      </c>
      <c r="Q14" s="65">
        <f t="shared" si="33"/>
        <v>26222.593171759752</v>
      </c>
      <c r="R14" s="65">
        <f t="shared" si="33"/>
        <v>19319.933530031616</v>
      </c>
      <c r="S14" s="65">
        <f t="shared" si="33"/>
        <v>13523.723076923081</v>
      </c>
      <c r="T14" s="65">
        <f t="shared" si="33"/>
        <v>821.47692307694524</v>
      </c>
      <c r="U14" s="65">
        <f t="shared" si="33"/>
        <v>12696.61538461539</v>
      </c>
      <c r="V14" s="65">
        <f t="shared" si="33"/>
        <v>23536.305837723925</v>
      </c>
      <c r="W14" s="65">
        <f t="shared" si="33"/>
        <v>31810.97471865121</v>
      </c>
      <c r="X14" s="65">
        <f t="shared" si="33"/>
        <v>39502.146891464698</v>
      </c>
      <c r="Y14" s="65">
        <f t="shared" si="33"/>
        <v>40753.58381454162</v>
      </c>
      <c r="Z14" s="65">
        <f>IF(Z9-Z12&gt;0,Z9-Z12,0)</f>
        <v>40479.101053740778</v>
      </c>
      <c r="AA14" s="65">
        <f t="shared" ref="AA14:AK14" si="34">IF(AA9-AA12&gt;0,AA9-AA12,0)</f>
        <v>38482.016101159112</v>
      </c>
      <c r="AB14" s="65">
        <f t="shared" si="34"/>
        <v>31277.506406743938</v>
      </c>
      <c r="AC14" s="65">
        <f t="shared" si="34"/>
        <v>26222.593171759752</v>
      </c>
      <c r="AD14" s="65">
        <f t="shared" si="34"/>
        <v>19319.933530031616</v>
      </c>
      <c r="AE14" s="65">
        <f t="shared" si="34"/>
        <v>13523.723076923081</v>
      </c>
      <c r="AF14" s="65">
        <f t="shared" si="34"/>
        <v>821.47692307694524</v>
      </c>
      <c r="AG14" s="65">
        <f t="shared" si="34"/>
        <v>12696.61538461539</v>
      </c>
      <c r="AH14" s="65">
        <f t="shared" si="34"/>
        <v>23536.305837723925</v>
      </c>
      <c r="AI14" s="65">
        <f t="shared" si="34"/>
        <v>31810.97471865121</v>
      </c>
      <c r="AJ14" s="65">
        <f t="shared" si="34"/>
        <v>39502.146891464698</v>
      </c>
      <c r="AK14" s="65">
        <f t="shared" si="34"/>
        <v>40753.58381454162</v>
      </c>
      <c r="AL14">
        <f>(SUM(Z14:AK14)/1000)</f>
        <v>318.42597691043204</v>
      </c>
      <c r="AM14" t="s">
        <v>210</v>
      </c>
    </row>
    <row r="15" spans="1:46" x14ac:dyDescent="0.25">
      <c r="A15" s="65" t="s">
        <v>222</v>
      </c>
      <c r="B15" s="65">
        <f t="shared" ref="B15" si="35">B9-B14</f>
        <v>14720.898946259222</v>
      </c>
      <c r="C15" s="65">
        <f t="shared" ref="C15:D15" si="36">C9-C14</f>
        <v>16717.983898840888</v>
      </c>
      <c r="D15" s="65">
        <f t="shared" si="36"/>
        <v>23922.493593256062</v>
      </c>
      <c r="E15" s="65">
        <f t="shared" ref="E15" si="37">E9-E14</f>
        <v>28977.406828240248</v>
      </c>
      <c r="F15" s="65">
        <f t="shared" ref="F15" si="38">F9-F14</f>
        <v>35880.066469968384</v>
      </c>
      <c r="G15" s="65">
        <f>G9-G14</f>
        <v>41676.276923076919</v>
      </c>
      <c r="H15" s="65">
        <f t="shared" ref="H15:M15" si="39">H9-H14</f>
        <v>45532.246153846143</v>
      </c>
      <c r="I15" s="65">
        <f t="shared" si="39"/>
        <v>42503.38461538461</v>
      </c>
      <c r="J15" s="65">
        <f t="shared" si="39"/>
        <v>31663.694162276075</v>
      </c>
      <c r="K15" s="65">
        <f t="shared" si="39"/>
        <v>23389.02528134879</v>
      </c>
      <c r="L15" s="65">
        <f t="shared" si="39"/>
        <v>15697.853108535302</v>
      </c>
      <c r="M15" s="65">
        <f t="shared" si="39"/>
        <v>14446.41618545838</v>
      </c>
      <c r="N15" s="65">
        <f t="shared" ref="N15" si="40">N9-N14</f>
        <v>14720.898946259222</v>
      </c>
      <c r="O15" s="65">
        <f t="shared" ref="O15" si="41">O9-O14</f>
        <v>16717.983898840888</v>
      </c>
      <c r="P15" s="65">
        <f t="shared" ref="P15" si="42">P9-P14</f>
        <v>23922.493593256062</v>
      </c>
      <c r="Q15" s="65">
        <f t="shared" ref="Q15:U15" si="43">Q9-Q14</f>
        <v>28977.406828240248</v>
      </c>
      <c r="R15" s="65">
        <f t="shared" si="43"/>
        <v>35880.066469968384</v>
      </c>
      <c r="S15" s="65">
        <f t="shared" si="43"/>
        <v>41676.276923076919</v>
      </c>
      <c r="T15" s="65">
        <f t="shared" si="43"/>
        <v>45532.246153846143</v>
      </c>
      <c r="U15" s="65">
        <f t="shared" si="43"/>
        <v>42503.38461538461</v>
      </c>
      <c r="V15" s="65">
        <f t="shared" ref="V15" si="44">V9-V14</f>
        <v>31663.694162276075</v>
      </c>
      <c r="W15" s="65">
        <f t="shared" ref="W15" si="45">W9-W14</f>
        <v>23389.02528134879</v>
      </c>
      <c r="X15" s="65">
        <f t="shared" ref="X15" si="46">X9-X14</f>
        <v>15697.853108535302</v>
      </c>
      <c r="Y15" s="65">
        <f t="shared" ref="Y15" si="47">Y9-Y14</f>
        <v>14446.41618545838</v>
      </c>
      <c r="Z15" s="65">
        <f t="shared" ref="Z15" si="48">Z9-Z14</f>
        <v>14720.898946259222</v>
      </c>
      <c r="AA15" s="65">
        <f t="shared" ref="AA15" si="49">AA9-AA14</f>
        <v>16717.983898840888</v>
      </c>
      <c r="AB15" s="65">
        <f t="shared" ref="AB15" si="50">AB9-AB14</f>
        <v>23922.493593256062</v>
      </c>
      <c r="AC15" s="65">
        <f t="shared" ref="AC15" si="51">AC9-AC14</f>
        <v>28977.406828240248</v>
      </c>
      <c r="AD15" s="65">
        <f t="shared" ref="AD15" si="52">AD9-AD14</f>
        <v>35880.066469968384</v>
      </c>
      <c r="AE15" s="65">
        <f t="shared" ref="AE15" si="53">AE9-AE14</f>
        <v>41676.276923076919</v>
      </c>
      <c r="AF15" s="65">
        <f t="shared" ref="AF15" si="54">AF9-AF14</f>
        <v>45532.246153846143</v>
      </c>
      <c r="AG15" s="65">
        <f t="shared" ref="AG15:AI15" si="55">AG9-AG14</f>
        <v>42503.38461538461</v>
      </c>
      <c r="AH15" s="65">
        <f t="shared" si="55"/>
        <v>31663.694162276075</v>
      </c>
      <c r="AI15" s="65">
        <f t="shared" si="55"/>
        <v>23389.02528134879</v>
      </c>
      <c r="AJ15" s="65">
        <f t="shared" ref="AJ15" si="56">AJ9-AJ14</f>
        <v>15697.853108535302</v>
      </c>
      <c r="AK15" s="65">
        <f t="shared" ref="AK15" si="57">AK9-AK14</f>
        <v>14446.41618545838</v>
      </c>
      <c r="AL15">
        <f>(SUM(Z15:AK15))/1000</f>
        <v>335.12774616649102</v>
      </c>
      <c r="AM15" t="s">
        <v>210</v>
      </c>
      <c r="AN15">
        <f>IF(AL7&lt;AL12,100,((AL12*100)/AL7))</f>
        <v>47.602020704879273</v>
      </c>
    </row>
    <row r="16" spans="1:46" x14ac:dyDescent="0.25">
      <c r="B16" s="85">
        <f>B11/B4</f>
        <v>217.26770794384578</v>
      </c>
      <c r="C16" s="85">
        <f t="shared" ref="C16:M16" si="58">C11/C4</f>
        <v>339.4708535300316</v>
      </c>
      <c r="D16" s="85">
        <f t="shared" si="58"/>
        <v>514.09334171793739</v>
      </c>
      <c r="E16" s="85">
        <f t="shared" si="58"/>
        <v>708.31356094134162</v>
      </c>
      <c r="F16" s="85">
        <f t="shared" si="58"/>
        <v>899.8214990312382</v>
      </c>
      <c r="G16" s="85">
        <f t="shared" si="58"/>
        <v>1131.6092307692306</v>
      </c>
      <c r="H16" s="85">
        <f t="shared" si="58"/>
        <v>1211.182133995037</v>
      </c>
      <c r="I16" s="85">
        <f t="shared" si="58"/>
        <v>1113.476923076923</v>
      </c>
      <c r="J16" s="85">
        <f t="shared" si="58"/>
        <v>797.85647207586919</v>
      </c>
      <c r="K16" s="85">
        <f t="shared" si="58"/>
        <v>496.8846864951222</v>
      </c>
      <c r="L16" s="85">
        <f t="shared" si="58"/>
        <v>265.66177028450994</v>
      </c>
      <c r="M16" s="85">
        <f t="shared" si="58"/>
        <v>208.41342533736699</v>
      </c>
      <c r="N16" s="85">
        <f>(SUM(B16:M16))/12</f>
        <v>658.67096709987118</v>
      </c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</row>
    <row r="19" spans="1:41" x14ac:dyDescent="0.25">
      <c r="A19" s="84" t="s">
        <v>57</v>
      </c>
      <c r="B19">
        <v>31</v>
      </c>
      <c r="C19">
        <v>28</v>
      </c>
      <c r="D19">
        <v>31</v>
      </c>
      <c r="E19">
        <v>30</v>
      </c>
      <c r="F19">
        <v>31</v>
      </c>
      <c r="G19">
        <v>30</v>
      </c>
      <c r="H19">
        <v>31</v>
      </c>
      <c r="I19">
        <v>31</v>
      </c>
      <c r="J19">
        <v>30</v>
      </c>
      <c r="K19">
        <v>31</v>
      </c>
      <c r="L19">
        <v>30</v>
      </c>
      <c r="M19">
        <v>31</v>
      </c>
      <c r="N19">
        <v>31</v>
      </c>
      <c r="O19">
        <v>28</v>
      </c>
      <c r="P19">
        <v>31</v>
      </c>
      <c r="Q19">
        <v>30</v>
      </c>
      <c r="R19">
        <v>31</v>
      </c>
      <c r="S19">
        <v>30</v>
      </c>
      <c r="T19">
        <v>31</v>
      </c>
      <c r="U19">
        <v>31</v>
      </c>
      <c r="V19">
        <v>30</v>
      </c>
      <c r="W19">
        <v>31</v>
      </c>
      <c r="X19">
        <v>30</v>
      </c>
      <c r="Y19">
        <v>31</v>
      </c>
      <c r="Z19">
        <v>31</v>
      </c>
      <c r="AA19">
        <v>28</v>
      </c>
      <c r="AB19">
        <v>31</v>
      </c>
      <c r="AC19">
        <v>30</v>
      </c>
      <c r="AD19">
        <v>31</v>
      </c>
      <c r="AE19">
        <v>30</v>
      </c>
      <c r="AF19">
        <v>31</v>
      </c>
      <c r="AG19">
        <v>31</v>
      </c>
      <c r="AH19">
        <v>30</v>
      </c>
      <c r="AI19">
        <v>31</v>
      </c>
      <c r="AJ19">
        <v>30</v>
      </c>
      <c r="AK19">
        <v>31</v>
      </c>
    </row>
    <row r="20" spans="1:41" x14ac:dyDescent="0.25">
      <c r="A20" s="65" t="s">
        <v>34</v>
      </c>
      <c r="B20" s="5" t="s">
        <v>35</v>
      </c>
      <c r="C20" s="5" t="s">
        <v>36</v>
      </c>
      <c r="D20" s="5" t="s">
        <v>37</v>
      </c>
      <c r="E20" s="5" t="s">
        <v>38</v>
      </c>
      <c r="F20" s="5" t="s">
        <v>39</v>
      </c>
      <c r="G20" s="5" t="s">
        <v>40</v>
      </c>
      <c r="H20" s="5" t="s">
        <v>41</v>
      </c>
      <c r="I20" s="5" t="s">
        <v>42</v>
      </c>
      <c r="J20" s="5" t="s">
        <v>43</v>
      </c>
      <c r="K20" s="5" t="s">
        <v>44</v>
      </c>
      <c r="L20" s="5" t="s">
        <v>45</v>
      </c>
      <c r="M20" s="5" t="s">
        <v>46</v>
      </c>
      <c r="N20" s="5" t="s">
        <v>35</v>
      </c>
      <c r="O20" s="5" t="s">
        <v>36</v>
      </c>
      <c r="P20" s="5" t="s">
        <v>37</v>
      </c>
      <c r="Q20" s="5" t="s">
        <v>38</v>
      </c>
      <c r="R20" s="5" t="s">
        <v>39</v>
      </c>
      <c r="S20" s="5" t="s">
        <v>40</v>
      </c>
      <c r="T20" s="5" t="s">
        <v>41</v>
      </c>
      <c r="U20" s="5" t="s">
        <v>42</v>
      </c>
      <c r="V20" s="5" t="s">
        <v>43</v>
      </c>
      <c r="W20" s="5" t="s">
        <v>44</v>
      </c>
      <c r="X20" s="5" t="s">
        <v>45</v>
      </c>
      <c r="Y20" s="5" t="s">
        <v>46</v>
      </c>
      <c r="Z20" s="5" t="s">
        <v>35</v>
      </c>
      <c r="AA20" s="5" t="s">
        <v>36</v>
      </c>
      <c r="AB20" s="5" t="s">
        <v>37</v>
      </c>
      <c r="AC20" s="5" t="s">
        <v>38</v>
      </c>
      <c r="AD20" s="5" t="s">
        <v>39</v>
      </c>
      <c r="AE20" s="5" t="s">
        <v>40</v>
      </c>
      <c r="AF20" s="5" t="s">
        <v>41</v>
      </c>
      <c r="AG20" s="5" t="s">
        <v>42</v>
      </c>
      <c r="AH20" s="5" t="s">
        <v>43</v>
      </c>
      <c r="AI20" s="5" t="s">
        <v>44</v>
      </c>
      <c r="AJ20" s="5" t="s">
        <v>45</v>
      </c>
      <c r="AK20" s="5" t="s">
        <v>46</v>
      </c>
      <c r="AL20" s="5" t="s">
        <v>209</v>
      </c>
    </row>
    <row r="21" spans="1:41" x14ac:dyDescent="0.25">
      <c r="A21" s="65" t="s">
        <v>48</v>
      </c>
      <c r="B21" s="105">
        <f>'Aigua recollida'!B9</f>
        <v>47.35</v>
      </c>
      <c r="C21" s="107">
        <f>'Aigua recollida'!C9</f>
        <v>43.61</v>
      </c>
      <c r="D21" s="107">
        <f>'Aigua recollida'!D9</f>
        <v>65.53</v>
      </c>
      <c r="E21" s="107">
        <f>'Aigua recollida'!E9</f>
        <v>84.669999999999987</v>
      </c>
      <c r="F21" s="107">
        <f>'Aigua recollida'!F9</f>
        <v>84.1</v>
      </c>
      <c r="G21" s="107">
        <f>'Aigua recollida'!G9</f>
        <v>51.46</v>
      </c>
      <c r="H21" s="107">
        <f>'Aigua recollida'!H9</f>
        <v>32.830000000000005</v>
      </c>
      <c r="I21" s="107">
        <f>'Aigua recollida'!I9</f>
        <v>62.5</v>
      </c>
      <c r="J21" s="107">
        <f>'Aigua recollida'!J9</f>
        <v>61.839999999999996</v>
      </c>
      <c r="K21" s="107">
        <f>'Aigua recollida'!K9</f>
        <v>80.02000000000001</v>
      </c>
      <c r="L21" s="107">
        <f>'Aigua recollida'!L9</f>
        <v>70.47</v>
      </c>
      <c r="M21" s="107">
        <f>'Aigua recollida'!M9</f>
        <v>19.64</v>
      </c>
      <c r="N21" s="105">
        <f>'Aigua recollida'!B9</f>
        <v>47.35</v>
      </c>
      <c r="O21" s="107">
        <f>'Aigua recollida'!C9</f>
        <v>43.61</v>
      </c>
      <c r="P21" s="107">
        <f>'Aigua recollida'!D9</f>
        <v>65.53</v>
      </c>
      <c r="Q21" s="107">
        <f>'Aigua recollida'!E9</f>
        <v>84.669999999999987</v>
      </c>
      <c r="R21" s="107">
        <f>'Aigua recollida'!F9</f>
        <v>84.1</v>
      </c>
      <c r="S21" s="107">
        <f>'Aigua recollida'!G9</f>
        <v>51.46</v>
      </c>
      <c r="T21" s="107">
        <f>'Aigua recollida'!H9</f>
        <v>32.830000000000005</v>
      </c>
      <c r="U21" s="107">
        <f>'Aigua recollida'!I9</f>
        <v>62.5</v>
      </c>
      <c r="V21" s="107">
        <f>'Aigua recollida'!J9</f>
        <v>61.839999999999996</v>
      </c>
      <c r="W21" s="107">
        <f>'Aigua recollida'!K9</f>
        <v>80.02000000000001</v>
      </c>
      <c r="X21" s="107">
        <f>'Aigua recollida'!L9</f>
        <v>70.47</v>
      </c>
      <c r="Y21" s="107">
        <f>'Aigua recollida'!M9</f>
        <v>19.64</v>
      </c>
      <c r="Z21" s="105">
        <f>'Aigua recollida'!B9</f>
        <v>47.35</v>
      </c>
      <c r="AA21" s="107">
        <f>'Aigua recollida'!C9</f>
        <v>43.61</v>
      </c>
      <c r="AB21" s="107">
        <f>'Aigua recollida'!D9</f>
        <v>65.53</v>
      </c>
      <c r="AC21" s="107">
        <f>'Aigua recollida'!E9</f>
        <v>84.669999999999987</v>
      </c>
      <c r="AD21" s="107">
        <f>'Aigua recollida'!F9</f>
        <v>84.1</v>
      </c>
      <c r="AE21" s="107">
        <f>'Aigua recollida'!G9</f>
        <v>51.46</v>
      </c>
      <c r="AF21" s="107">
        <f>'Aigua recollida'!H9</f>
        <v>32.830000000000005</v>
      </c>
      <c r="AG21" s="107">
        <f>'Aigua recollida'!I9</f>
        <v>62.5</v>
      </c>
      <c r="AH21" s="107">
        <f>'Aigua recollida'!J9</f>
        <v>61.839999999999996</v>
      </c>
      <c r="AI21" s="107">
        <f>'Aigua recollida'!K9</f>
        <v>80.02000000000001</v>
      </c>
      <c r="AJ21" s="107">
        <f>'Aigua recollida'!L9</f>
        <v>70.47</v>
      </c>
      <c r="AK21" s="107">
        <f>'Aigua recollida'!M9</f>
        <v>19.64</v>
      </c>
    </row>
    <row r="22" spans="1:41" x14ac:dyDescent="0.25">
      <c r="A22" s="65" t="s">
        <v>51</v>
      </c>
      <c r="B22" s="104">
        <f>'Aigua recollida'!B10</f>
        <v>47.35</v>
      </c>
      <c r="C22" s="219">
        <f>'Aigua recollida'!C10</f>
        <v>43.61</v>
      </c>
      <c r="D22" s="219">
        <f>'Aigua recollida'!D10</f>
        <v>65.53</v>
      </c>
      <c r="E22" s="219">
        <f>'Aigua recollida'!E10</f>
        <v>84.67</v>
      </c>
      <c r="F22" s="219">
        <f>'Aigua recollida'!F10</f>
        <v>84.1</v>
      </c>
      <c r="G22" s="219">
        <f>'Aigua recollida'!G10</f>
        <v>51.46</v>
      </c>
      <c r="H22" s="219">
        <f>'Aigua recollida'!H10</f>
        <v>32.830000000000005</v>
      </c>
      <c r="I22" s="219">
        <f>'Aigua recollida'!I10</f>
        <v>62.5</v>
      </c>
      <c r="J22" s="219">
        <f>'Aigua recollida'!J10</f>
        <v>61.84</v>
      </c>
      <c r="K22" s="219">
        <f>'Aigua recollida'!K10</f>
        <v>80.02000000000001</v>
      </c>
      <c r="L22" s="219">
        <f>'Aigua recollida'!L10</f>
        <v>70.47</v>
      </c>
      <c r="M22" s="219">
        <f>'Aigua recollida'!M10</f>
        <v>19.64</v>
      </c>
      <c r="N22" s="104">
        <f>'Aigua recollida'!B10</f>
        <v>47.35</v>
      </c>
      <c r="O22" s="219">
        <f>'Aigua recollida'!C10</f>
        <v>43.61</v>
      </c>
      <c r="P22" s="219">
        <f>'Aigua recollida'!D10</f>
        <v>65.53</v>
      </c>
      <c r="Q22" s="219">
        <f>'Aigua recollida'!E10</f>
        <v>84.67</v>
      </c>
      <c r="R22" s="219">
        <f>'Aigua recollida'!F10</f>
        <v>84.1</v>
      </c>
      <c r="S22" s="219">
        <f>'Aigua recollida'!G10</f>
        <v>51.46</v>
      </c>
      <c r="T22" s="219">
        <f>'Aigua recollida'!H10</f>
        <v>32.830000000000005</v>
      </c>
      <c r="U22" s="219">
        <f>'Aigua recollida'!I10</f>
        <v>62.5</v>
      </c>
      <c r="V22" s="219">
        <f>'Aigua recollida'!J10</f>
        <v>61.84</v>
      </c>
      <c r="W22" s="219">
        <f>'Aigua recollida'!K10</f>
        <v>80.02000000000001</v>
      </c>
      <c r="X22" s="219">
        <f>'Aigua recollida'!L10</f>
        <v>70.47</v>
      </c>
      <c r="Y22" s="219">
        <f>'Aigua recollida'!M10</f>
        <v>19.64</v>
      </c>
      <c r="Z22" s="104">
        <f>'Aigua recollida'!B10</f>
        <v>47.35</v>
      </c>
      <c r="AA22" s="219">
        <f>'Aigua recollida'!C10</f>
        <v>43.61</v>
      </c>
      <c r="AB22" s="219">
        <f>'Aigua recollida'!D10</f>
        <v>65.53</v>
      </c>
      <c r="AC22" s="219">
        <f>'Aigua recollida'!E10</f>
        <v>84.67</v>
      </c>
      <c r="AD22" s="219">
        <f>'Aigua recollida'!F10</f>
        <v>84.1</v>
      </c>
      <c r="AE22" s="219">
        <f>'Aigua recollida'!G10</f>
        <v>51.46</v>
      </c>
      <c r="AF22" s="219">
        <f>'Aigua recollida'!H10</f>
        <v>32.830000000000005</v>
      </c>
      <c r="AG22" s="219">
        <f>'Aigua recollida'!I10</f>
        <v>62.5</v>
      </c>
      <c r="AH22" s="219">
        <f>'Aigua recollida'!J10</f>
        <v>61.84</v>
      </c>
      <c r="AI22" s="219">
        <f>'Aigua recollida'!K10</f>
        <v>80.02000000000001</v>
      </c>
      <c r="AJ22" s="219">
        <f>'Aigua recollida'!L10</f>
        <v>70.47</v>
      </c>
      <c r="AK22" s="219">
        <f>'Aigua recollida'!M10</f>
        <v>19.64</v>
      </c>
      <c r="AL22" s="100">
        <f>SUM(Z22:AK22)</f>
        <v>704.02</v>
      </c>
      <c r="AM22" t="s">
        <v>210</v>
      </c>
    </row>
    <row r="23" spans="1:41" x14ac:dyDescent="0.25">
      <c r="A23" s="65" t="s">
        <v>203</v>
      </c>
      <c r="B23" s="103">
        <f>B22*1000</f>
        <v>47350</v>
      </c>
      <c r="C23" s="65">
        <f t="shared" ref="C23:AK23" si="59">C22*1000</f>
        <v>43610</v>
      </c>
      <c r="D23" s="65">
        <f t="shared" si="59"/>
        <v>65530</v>
      </c>
      <c r="E23" s="65">
        <f t="shared" si="59"/>
        <v>84670</v>
      </c>
      <c r="F23" s="65">
        <f t="shared" si="59"/>
        <v>84100</v>
      </c>
      <c r="G23" s="65">
        <f t="shared" si="59"/>
        <v>51460</v>
      </c>
      <c r="H23" s="65">
        <f t="shared" si="59"/>
        <v>32830.000000000007</v>
      </c>
      <c r="I23" s="65">
        <f t="shared" si="59"/>
        <v>62500</v>
      </c>
      <c r="J23" s="65">
        <f t="shared" si="59"/>
        <v>61840</v>
      </c>
      <c r="K23" s="65">
        <f t="shared" si="59"/>
        <v>80020.000000000015</v>
      </c>
      <c r="L23" s="65">
        <f t="shared" si="59"/>
        <v>70470</v>
      </c>
      <c r="M23" s="65">
        <f t="shared" si="59"/>
        <v>19640</v>
      </c>
      <c r="N23" s="103">
        <f t="shared" si="59"/>
        <v>47350</v>
      </c>
      <c r="O23" s="65">
        <f t="shared" si="59"/>
        <v>43610</v>
      </c>
      <c r="P23" s="65">
        <f t="shared" si="59"/>
        <v>65530</v>
      </c>
      <c r="Q23" s="65">
        <f t="shared" si="59"/>
        <v>84670</v>
      </c>
      <c r="R23" s="65">
        <f t="shared" si="59"/>
        <v>84100</v>
      </c>
      <c r="S23" s="65">
        <f t="shared" si="59"/>
        <v>51460</v>
      </c>
      <c r="T23" s="65">
        <f t="shared" si="59"/>
        <v>32830.000000000007</v>
      </c>
      <c r="U23" s="65">
        <f t="shared" si="59"/>
        <v>62500</v>
      </c>
      <c r="V23" s="65">
        <f t="shared" si="59"/>
        <v>61840</v>
      </c>
      <c r="W23" s="65">
        <f t="shared" si="59"/>
        <v>80020.000000000015</v>
      </c>
      <c r="X23" s="65">
        <f t="shared" si="59"/>
        <v>70470</v>
      </c>
      <c r="Y23" s="65">
        <f t="shared" si="59"/>
        <v>19640</v>
      </c>
      <c r="Z23" s="103">
        <f t="shared" si="59"/>
        <v>47350</v>
      </c>
      <c r="AA23" s="65">
        <f t="shared" si="59"/>
        <v>43610</v>
      </c>
      <c r="AB23" s="65">
        <f t="shared" si="59"/>
        <v>65530</v>
      </c>
      <c r="AC23" s="65">
        <f t="shared" si="59"/>
        <v>84670</v>
      </c>
      <c r="AD23" s="65">
        <f t="shared" si="59"/>
        <v>84100</v>
      </c>
      <c r="AE23" s="65">
        <f t="shared" si="59"/>
        <v>51460</v>
      </c>
      <c r="AF23" s="65">
        <f t="shared" si="59"/>
        <v>32830.000000000007</v>
      </c>
      <c r="AG23" s="65">
        <f t="shared" si="59"/>
        <v>62500</v>
      </c>
      <c r="AH23" s="65">
        <f t="shared" si="59"/>
        <v>61840</v>
      </c>
      <c r="AI23" s="65">
        <f t="shared" si="59"/>
        <v>80020.000000000015</v>
      </c>
      <c r="AJ23" s="65">
        <f t="shared" si="59"/>
        <v>70470</v>
      </c>
      <c r="AK23" s="65">
        <f t="shared" si="59"/>
        <v>19640</v>
      </c>
    </row>
    <row r="24" spans="1:41" x14ac:dyDescent="0.25">
      <c r="A24" s="65" t="s">
        <v>207</v>
      </c>
      <c r="B24" s="103">
        <f>B23</f>
        <v>47350</v>
      </c>
      <c r="C24" s="65">
        <f>MIN($Q$2,IF(B28&lt;0,C23,IF(B28=0,B29+C23)))</f>
        <v>55200</v>
      </c>
      <c r="D24" s="65">
        <f t="shared" ref="D24" si="60">MIN($Q$2,IF(C28&lt;0,D23,IF(C28=0,C29+D23)))</f>
        <v>55200</v>
      </c>
      <c r="E24" s="65">
        <f t="shared" ref="E24" si="61">MIN($Q$2,IF(D28&lt;0,E23,IF(D28=0,D29+E23)))</f>
        <v>55200</v>
      </c>
      <c r="F24" s="65">
        <f t="shared" ref="F24" si="62">MIN($Q$2,IF(E28&lt;0,F23,IF(E28=0,E29+F23)))</f>
        <v>55200</v>
      </c>
      <c r="G24" s="65">
        <f t="shared" ref="G24" si="63">MIN($Q$2,IF(F28&lt;0,G23,IF(F28=0,F29+G23)))</f>
        <v>55200</v>
      </c>
      <c r="H24" s="65">
        <f t="shared" ref="H24" si="64">MIN($Q$2,IF(G28&lt;0,H23,IF(G28=0,G29+H23)))</f>
        <v>46353.723076923088</v>
      </c>
      <c r="I24" s="65">
        <f t="shared" ref="I24" si="65">MIN($Q$2,IF(H28&lt;0,I23,IF(H28=0,H29+I23)))</f>
        <v>55200</v>
      </c>
      <c r="J24" s="65">
        <f t="shared" ref="J24" si="66">MIN($Q$2,IF(I28&lt;0,J23,IF(I28=0,I29+J23)))</f>
        <v>55200</v>
      </c>
      <c r="K24" s="65">
        <f t="shared" ref="K24" si="67">MIN($Q$2,IF(J28&lt;0,K23,IF(J28=0,J29+K23)))</f>
        <v>55200</v>
      </c>
      <c r="L24" s="65">
        <f t="shared" ref="L24" si="68">MIN($Q$2,IF(K28&lt;0,L23,IF(K28=0,K29+L23)))</f>
        <v>55200</v>
      </c>
      <c r="M24" s="65">
        <f t="shared" ref="M24" si="69">MIN($Q$2,IF(L28&lt;0,M23,IF(L28=0,L29+M23)))</f>
        <v>55200</v>
      </c>
      <c r="N24" s="65">
        <f t="shared" ref="N24" si="70">MIN($Q$2,IF(M28&lt;0,N23,IF(M28=0,M29+N23)))</f>
        <v>55200</v>
      </c>
      <c r="O24" s="65">
        <f t="shared" ref="O24" si="71">MIN($Q$2,IF(N28&lt;0,O23,IF(N28=0,N29+O23)))</f>
        <v>55200</v>
      </c>
      <c r="P24" s="65">
        <f t="shared" ref="P24" si="72">MIN($Q$2,IF(O28&lt;0,P23,IF(O28=0,O29+P23)))</f>
        <v>55200</v>
      </c>
      <c r="Q24" s="65">
        <f t="shared" ref="Q24" si="73">MIN($Q$2,IF(P28&lt;0,Q23,IF(P28=0,P29+Q23)))</f>
        <v>55200</v>
      </c>
      <c r="R24" s="65">
        <f t="shared" ref="R24" si="74">MIN($Q$2,IF(Q28&lt;0,R23,IF(Q28=0,Q29+R23)))</f>
        <v>55200</v>
      </c>
      <c r="S24" s="65">
        <f t="shared" ref="S24" si="75">MIN($Q$2,IF(R28&lt;0,S23,IF(R28=0,R29+S23)))</f>
        <v>55200</v>
      </c>
      <c r="T24" s="65">
        <f t="shared" ref="T24" si="76">MIN($Q$2,IF(S28&lt;0,T23,IF(S28=0,S29+T23)))</f>
        <v>46353.723076923088</v>
      </c>
      <c r="U24" s="65">
        <f t="shared" ref="U24" si="77">MIN($Q$2,IF(T28&lt;0,U23,IF(T28=0,T29+U23)))</f>
        <v>55200</v>
      </c>
      <c r="V24" s="65">
        <f t="shared" ref="V24" si="78">MIN($Q$2,IF(U28&lt;0,V23,IF(U28=0,U29+V23)))</f>
        <v>55200</v>
      </c>
      <c r="W24" s="65">
        <f t="shared" ref="W24" si="79">MIN($Q$2,IF(V28&lt;0,W23,IF(V28=0,V29+W23)))</f>
        <v>55200</v>
      </c>
      <c r="X24" s="65">
        <f t="shared" ref="X24" si="80">MIN($Q$2,IF(W28&lt;0,X23,IF(W28=0,W29+X23)))</f>
        <v>55200</v>
      </c>
      <c r="Y24" s="65">
        <f t="shared" ref="Y24" si="81">MIN($Q$2,IF(X28&lt;0,Y23,IF(X28=0,X29+Y23)))</f>
        <v>55200</v>
      </c>
      <c r="Z24" s="65">
        <f t="shared" ref="Z24" si="82">MIN($Q$2,IF(Y28&lt;0,Z23,IF(Y28=0,Y29+Z23)))</f>
        <v>55200</v>
      </c>
      <c r="AA24" s="65">
        <f t="shared" ref="AA24" si="83">MIN($Q$2,IF(Z28&lt;0,AA23,IF(Z28=0,Z29+AA23)))</f>
        <v>55200</v>
      </c>
      <c r="AB24" s="65">
        <f t="shared" ref="AB24" si="84">MIN($Q$2,IF(AA28&lt;0,AB23,IF(AA28=0,AA29+AB23)))</f>
        <v>55200</v>
      </c>
      <c r="AC24" s="65">
        <f t="shared" ref="AC24" si="85">MIN($Q$2,IF(AB28&lt;0,AC23,IF(AB28=0,AB29+AC23)))</f>
        <v>55200</v>
      </c>
      <c r="AD24" s="65">
        <f t="shared" ref="AD24" si="86">MIN($Q$2,IF(AC28&lt;0,AD23,IF(AC28=0,AC29+AD23)))</f>
        <v>55200</v>
      </c>
      <c r="AE24" s="65">
        <f t="shared" ref="AE24" si="87">MIN($Q$2,IF(AD28&lt;0,AE23,IF(AD28=0,AD29+AE23)))</f>
        <v>55200</v>
      </c>
      <c r="AF24" s="65">
        <f t="shared" ref="AF24" si="88">MIN($Q$2,IF(AE28&lt;0,AF23,IF(AE28=0,AE29+AF23)))</f>
        <v>46353.723076923088</v>
      </c>
      <c r="AG24" s="65">
        <f t="shared" ref="AG24" si="89">MIN($Q$2,IF(AF28&lt;0,AG23,IF(AF28=0,AF29+AG23)))</f>
        <v>55200</v>
      </c>
      <c r="AH24" s="65">
        <f t="shared" ref="AH24" si="90">MIN($Q$2,IF(AG28&lt;0,AH23,IF(AG28=0,AG29+AH23)))</f>
        <v>55200</v>
      </c>
      <c r="AI24" s="65">
        <f t="shared" ref="AI24" si="91">MIN($Q$2,IF(AH28&lt;0,AI23,IF(AH28=0,AH29+AI23)))</f>
        <v>55200</v>
      </c>
      <c r="AJ24" s="65">
        <f t="shared" ref="AJ24" si="92">MIN($Q$2,IF(AI28&lt;0,AJ23,IF(AI28=0,AI29+AJ23)))</f>
        <v>55200</v>
      </c>
      <c r="AK24" s="65">
        <f t="shared" ref="AK24" si="93">MIN($Q$2,IF(AJ28&lt;0,AK23,IF(AJ28=0,AJ29+AK23)))</f>
        <v>55200</v>
      </c>
      <c r="AL24" s="108"/>
      <c r="AO24" s="109"/>
    </row>
    <row r="25" spans="1:41" x14ac:dyDescent="0.25">
      <c r="A25" s="65" t="s">
        <v>202</v>
      </c>
      <c r="B25" s="105">
        <f>Consum!$C$19*B19</f>
        <v>7985.6</v>
      </c>
      <c r="C25" s="87">
        <f>Consum!$C$19*C19</f>
        <v>7212.8000000000011</v>
      </c>
      <c r="D25" s="87">
        <f>Consum!$C$19*D19</f>
        <v>7985.6</v>
      </c>
      <c r="E25" s="87">
        <f>Consum!$C$19*E19</f>
        <v>7728.0000000000009</v>
      </c>
      <c r="F25" s="87">
        <f>Consum!$C$19*F19</f>
        <v>7985.6</v>
      </c>
      <c r="G25" s="87">
        <f>Consum!$C$19*G19</f>
        <v>7728.0000000000009</v>
      </c>
      <c r="H25" s="87">
        <f>Consum!$C$19*H19</f>
        <v>7985.6</v>
      </c>
      <c r="I25" s="87">
        <f>Consum!$C$19*I19</f>
        <v>7985.6</v>
      </c>
      <c r="J25" s="87">
        <f>Consum!$C$19*J19</f>
        <v>7728.0000000000009</v>
      </c>
      <c r="K25" s="87">
        <f>Consum!$C$19*K19</f>
        <v>7985.6</v>
      </c>
      <c r="L25" s="87">
        <f>Consum!$C$19*L19</f>
        <v>7728.0000000000009</v>
      </c>
      <c r="M25" s="87">
        <f>Consum!$C$19*M19</f>
        <v>7985.6</v>
      </c>
      <c r="N25" s="105">
        <f>Consum!$C$19*N19</f>
        <v>7985.6</v>
      </c>
      <c r="O25" s="87">
        <f>Consum!$C$19*O19</f>
        <v>7212.8000000000011</v>
      </c>
      <c r="P25" s="87">
        <f>Consum!$C$19*P19</f>
        <v>7985.6</v>
      </c>
      <c r="Q25" s="87">
        <f>Consum!$C$19*Q19</f>
        <v>7728.0000000000009</v>
      </c>
      <c r="R25" s="87">
        <f>Consum!$C$19*R19</f>
        <v>7985.6</v>
      </c>
      <c r="S25" s="87">
        <f>Consum!$C$19*S19</f>
        <v>7728.0000000000009</v>
      </c>
      <c r="T25" s="87">
        <f>Consum!$C$19*T19</f>
        <v>7985.6</v>
      </c>
      <c r="U25" s="87">
        <f>Consum!$C$19*U19</f>
        <v>7985.6</v>
      </c>
      <c r="V25" s="87">
        <f>Consum!$C$19*V19</f>
        <v>7728.0000000000009</v>
      </c>
      <c r="W25" s="87">
        <f>Consum!$C$19*W19</f>
        <v>7985.6</v>
      </c>
      <c r="X25" s="87">
        <f>Consum!$C$19*X19</f>
        <v>7728.0000000000009</v>
      </c>
      <c r="Y25" s="87">
        <f>Consum!$C$19*Y19</f>
        <v>7985.6</v>
      </c>
      <c r="Z25" s="105">
        <f>Consum!$C$19*Z19</f>
        <v>7985.6</v>
      </c>
      <c r="AA25" s="87">
        <f>Consum!$C$19*AA19</f>
        <v>7212.8000000000011</v>
      </c>
      <c r="AB25" s="87">
        <f>Consum!$C$19*AB19</f>
        <v>7985.6</v>
      </c>
      <c r="AC25" s="87">
        <f>Consum!$C$19*AC19</f>
        <v>7728.0000000000009</v>
      </c>
      <c r="AD25" s="87">
        <f>Consum!$C$19*AD19</f>
        <v>7985.6</v>
      </c>
      <c r="AE25" s="87">
        <f>Consum!$C$19*AE19</f>
        <v>7728.0000000000009</v>
      </c>
      <c r="AF25" s="87">
        <f>Consum!$C$19*AF19</f>
        <v>7985.6</v>
      </c>
      <c r="AG25" s="87">
        <f>Consum!$C$19*AG19</f>
        <v>7985.6</v>
      </c>
      <c r="AH25" s="87">
        <f>Consum!$C$19*AH19</f>
        <v>7728.0000000000009</v>
      </c>
      <c r="AI25" s="87">
        <f>Consum!$C$19*AI19</f>
        <v>7985.6</v>
      </c>
      <c r="AJ25" s="87">
        <f>Consum!$C$19*AJ19</f>
        <v>7728.0000000000009</v>
      </c>
      <c r="AK25" s="87">
        <f>Consum!$C$19*AK19</f>
        <v>7985.6</v>
      </c>
      <c r="AL25">
        <f>(SUM(Z25:AK25)/1000)</f>
        <v>94.024000000000015</v>
      </c>
      <c r="AM25" t="s">
        <v>210</v>
      </c>
    </row>
    <row r="26" spans="1:41" x14ac:dyDescent="0.25">
      <c r="A26" s="65" t="s">
        <v>201</v>
      </c>
      <c r="B26" s="103">
        <f>'Necessitats de reg'!B77*B19</f>
        <v>6735.2989462592195</v>
      </c>
      <c r="C26" s="106">
        <f>'Necessitats de reg'!C77*C19</f>
        <v>9505.1838988408854</v>
      </c>
      <c r="D26" s="106">
        <f>'Necessitats de reg'!D77*D19</f>
        <v>15936.89359325606</v>
      </c>
      <c r="E26" s="106">
        <f>'Necessitats de reg'!E77*E19</f>
        <v>21249.406828240248</v>
      </c>
      <c r="F26" s="106">
        <f>'Necessitats de reg'!F77*F19</f>
        <v>27894.466469968385</v>
      </c>
      <c r="G26" s="106">
        <f>'Necessitats de reg'!G77*G19</f>
        <v>33948.276923076919</v>
      </c>
      <c r="H26" s="106">
        <f>'Necessitats de reg'!H77*H19</f>
        <v>37546.646153846144</v>
      </c>
      <c r="I26" s="106">
        <f>'Necessitats de reg'!I77*I19</f>
        <v>34517.784615384611</v>
      </c>
      <c r="J26" s="106">
        <f>'Necessitats de reg'!J77*J19</f>
        <v>23935.694162276075</v>
      </c>
      <c r="K26" s="106">
        <f>'Necessitats de reg'!K77*K19</f>
        <v>15403.425281348787</v>
      </c>
      <c r="L26" s="106">
        <f>'Necessitats de reg'!L77*L19</f>
        <v>7969.8531085352979</v>
      </c>
      <c r="M26" s="106">
        <f>'Necessitats de reg'!M77*M19</f>
        <v>6460.8161854583768</v>
      </c>
      <c r="N26" s="103">
        <f>'Necessitats de reg'!B77*N19</f>
        <v>6735.2989462592195</v>
      </c>
      <c r="O26" s="106">
        <f>'Necessitats de reg'!C77*O19</f>
        <v>9505.1838988408854</v>
      </c>
      <c r="P26" s="106">
        <f>'Necessitats de reg'!D77*P19</f>
        <v>15936.89359325606</v>
      </c>
      <c r="Q26" s="106">
        <f>'Necessitats de reg'!E77*Q19</f>
        <v>21249.406828240248</v>
      </c>
      <c r="R26" s="106">
        <f>'Necessitats de reg'!F77*R19</f>
        <v>27894.466469968385</v>
      </c>
      <c r="S26" s="106">
        <f>'Necessitats de reg'!G77*S19</f>
        <v>33948.276923076919</v>
      </c>
      <c r="T26" s="106">
        <f>'Necessitats de reg'!H77*T19</f>
        <v>37546.646153846144</v>
      </c>
      <c r="U26" s="106">
        <f>'Necessitats de reg'!I77*U19</f>
        <v>34517.784615384611</v>
      </c>
      <c r="V26" s="106">
        <f>'Necessitats de reg'!J77*V19</f>
        <v>23935.694162276075</v>
      </c>
      <c r="W26" s="106">
        <f>'Necessitats de reg'!K77*W19</f>
        <v>15403.425281348787</v>
      </c>
      <c r="X26" s="106">
        <f>'Necessitats de reg'!L77*X19</f>
        <v>7969.8531085352979</v>
      </c>
      <c r="Y26" s="106">
        <f>'Necessitats de reg'!M77*Y19</f>
        <v>6460.8161854583768</v>
      </c>
      <c r="Z26" s="103">
        <f>'Necessitats de reg'!B77*Z19</f>
        <v>6735.2989462592195</v>
      </c>
      <c r="AA26" s="103">
        <f>'Necessitats de reg'!C77*AA19</f>
        <v>9505.1838988408854</v>
      </c>
      <c r="AB26" s="103">
        <f>'Necessitats de reg'!D77*AB19</f>
        <v>15936.89359325606</v>
      </c>
      <c r="AC26" s="103">
        <f>'Necessitats de reg'!E77*AC19</f>
        <v>21249.406828240248</v>
      </c>
      <c r="AD26" s="103">
        <f>'Necessitats de reg'!F77*AD19</f>
        <v>27894.466469968385</v>
      </c>
      <c r="AE26" s="103">
        <f>'Necessitats de reg'!G77*AE19</f>
        <v>33948.276923076919</v>
      </c>
      <c r="AF26" s="103">
        <f>'Necessitats de reg'!H77*AF19</f>
        <v>37546.646153846144</v>
      </c>
      <c r="AG26" s="103">
        <f>'Necessitats de reg'!I77*AG19</f>
        <v>34517.784615384611</v>
      </c>
      <c r="AH26" s="103">
        <f>'Necessitats de reg'!J77*AH19</f>
        <v>23935.694162276075</v>
      </c>
      <c r="AI26" s="103">
        <f>'Necessitats de reg'!K77*AI19</f>
        <v>15403.425281348787</v>
      </c>
      <c r="AJ26" s="103">
        <f>'Necessitats de reg'!L77*AJ19</f>
        <v>7969.8531085352979</v>
      </c>
      <c r="AK26" s="103">
        <f>'Necessitats de reg'!M77*AK19</f>
        <v>6460.8161854583768</v>
      </c>
      <c r="AL26">
        <f>(SUM(Z26:AK26)/1000)</f>
        <v>241.10374616649102</v>
      </c>
      <c r="AM26" t="s">
        <v>210</v>
      </c>
    </row>
    <row r="27" spans="1:41" x14ac:dyDescent="0.25">
      <c r="A27" s="65" t="s">
        <v>206</v>
      </c>
      <c r="B27" s="105">
        <f>B26+B25</f>
        <v>14720.89894625922</v>
      </c>
      <c r="C27" s="87">
        <f t="shared" ref="C27:M27" si="94">C26+C25</f>
        <v>16717.983898840888</v>
      </c>
      <c r="D27" s="87">
        <f t="shared" si="94"/>
        <v>23922.493593256062</v>
      </c>
      <c r="E27" s="87">
        <f t="shared" si="94"/>
        <v>28977.406828240248</v>
      </c>
      <c r="F27" s="87">
        <f t="shared" si="94"/>
        <v>35880.066469968384</v>
      </c>
      <c r="G27" s="87">
        <f t="shared" si="94"/>
        <v>41676.276923076919</v>
      </c>
      <c r="H27" s="87">
        <f t="shared" si="94"/>
        <v>45532.246153846143</v>
      </c>
      <c r="I27" s="87">
        <f t="shared" si="94"/>
        <v>42503.38461538461</v>
      </c>
      <c r="J27" s="87">
        <f t="shared" si="94"/>
        <v>31663.694162276075</v>
      </c>
      <c r="K27" s="87">
        <f t="shared" si="94"/>
        <v>23389.02528134879</v>
      </c>
      <c r="L27" s="87">
        <f t="shared" si="94"/>
        <v>15697.853108535299</v>
      </c>
      <c r="M27" s="87">
        <f t="shared" si="94"/>
        <v>14446.416185458376</v>
      </c>
      <c r="N27" s="105">
        <f>N26+N25</f>
        <v>14720.89894625922</v>
      </c>
      <c r="O27" s="87">
        <f t="shared" ref="O27:Y27" si="95">O26+O25</f>
        <v>16717.983898840888</v>
      </c>
      <c r="P27" s="87">
        <f t="shared" si="95"/>
        <v>23922.493593256062</v>
      </c>
      <c r="Q27" s="87">
        <f t="shared" si="95"/>
        <v>28977.406828240248</v>
      </c>
      <c r="R27" s="87">
        <f t="shared" si="95"/>
        <v>35880.066469968384</v>
      </c>
      <c r="S27" s="87">
        <f t="shared" si="95"/>
        <v>41676.276923076919</v>
      </c>
      <c r="T27" s="87">
        <f t="shared" si="95"/>
        <v>45532.246153846143</v>
      </c>
      <c r="U27" s="87">
        <f t="shared" si="95"/>
        <v>42503.38461538461</v>
      </c>
      <c r="V27" s="87">
        <f t="shared" si="95"/>
        <v>31663.694162276075</v>
      </c>
      <c r="W27" s="87">
        <f t="shared" si="95"/>
        <v>23389.02528134879</v>
      </c>
      <c r="X27" s="87">
        <f t="shared" si="95"/>
        <v>15697.853108535299</v>
      </c>
      <c r="Y27" s="87">
        <f t="shared" si="95"/>
        <v>14446.416185458376</v>
      </c>
      <c r="Z27" s="105">
        <f>Z26+Z25</f>
        <v>14720.89894625922</v>
      </c>
      <c r="AA27" s="87">
        <f t="shared" ref="AA27:AK27" si="96">AA26+AA25</f>
        <v>16717.983898840888</v>
      </c>
      <c r="AB27" s="87">
        <f t="shared" si="96"/>
        <v>23922.493593256062</v>
      </c>
      <c r="AC27" s="87">
        <f t="shared" si="96"/>
        <v>28977.406828240248</v>
      </c>
      <c r="AD27" s="87">
        <f t="shared" si="96"/>
        <v>35880.066469968384</v>
      </c>
      <c r="AE27" s="87">
        <f t="shared" si="96"/>
        <v>41676.276923076919</v>
      </c>
      <c r="AF27" s="87">
        <f t="shared" si="96"/>
        <v>45532.246153846143</v>
      </c>
      <c r="AG27" s="87">
        <f t="shared" si="96"/>
        <v>42503.38461538461</v>
      </c>
      <c r="AH27" s="87">
        <f t="shared" si="96"/>
        <v>31663.694162276075</v>
      </c>
      <c r="AI27" s="87">
        <f t="shared" si="96"/>
        <v>23389.02528134879</v>
      </c>
      <c r="AJ27" s="87">
        <f t="shared" si="96"/>
        <v>15697.853108535299</v>
      </c>
      <c r="AK27" s="87">
        <f t="shared" si="96"/>
        <v>14446.416185458376</v>
      </c>
      <c r="AL27">
        <f>(SUM(Z27:AK27)/1000)</f>
        <v>335.12774616649102</v>
      </c>
      <c r="AM27" t="s">
        <v>210</v>
      </c>
    </row>
    <row r="28" spans="1:41" x14ac:dyDescent="0.25">
      <c r="A28" s="65" t="s">
        <v>214</v>
      </c>
      <c r="B28" s="65">
        <f>IF(B24-B27&lt;0,B24-B27,0)</f>
        <v>0</v>
      </c>
      <c r="C28" s="65">
        <f t="shared" ref="C28:M28" si="97">IF(C24-C27&lt;0,C24-C27,0)</f>
        <v>0</v>
      </c>
      <c r="D28" s="65">
        <f t="shared" si="97"/>
        <v>0</v>
      </c>
      <c r="E28" s="65">
        <f t="shared" si="97"/>
        <v>0</v>
      </c>
      <c r="F28" s="65">
        <f t="shared" si="97"/>
        <v>0</v>
      </c>
      <c r="G28" s="65">
        <f t="shared" si="97"/>
        <v>0</v>
      </c>
      <c r="H28" s="65">
        <f t="shared" si="97"/>
        <v>0</v>
      </c>
      <c r="I28" s="65">
        <f t="shared" si="97"/>
        <v>0</v>
      </c>
      <c r="J28" s="65">
        <f t="shared" si="97"/>
        <v>0</v>
      </c>
      <c r="K28" s="65">
        <f t="shared" si="97"/>
        <v>0</v>
      </c>
      <c r="L28" s="65">
        <f t="shared" si="97"/>
        <v>0</v>
      </c>
      <c r="M28" s="65">
        <f t="shared" si="97"/>
        <v>0</v>
      </c>
      <c r="N28" s="65">
        <f>IF(N24-N27&lt;0,N24-N27,0)</f>
        <v>0</v>
      </c>
      <c r="O28" s="65">
        <f t="shared" ref="O28:Y28" si="98">IF(O24-O27&lt;0,O24-O27,0)</f>
        <v>0</v>
      </c>
      <c r="P28" s="65">
        <f t="shared" si="98"/>
        <v>0</v>
      </c>
      <c r="Q28" s="65">
        <f t="shared" si="98"/>
        <v>0</v>
      </c>
      <c r="R28" s="65">
        <f t="shared" si="98"/>
        <v>0</v>
      </c>
      <c r="S28" s="65">
        <f t="shared" si="98"/>
        <v>0</v>
      </c>
      <c r="T28" s="65">
        <f t="shared" si="98"/>
        <v>0</v>
      </c>
      <c r="U28" s="65">
        <f t="shared" si="98"/>
        <v>0</v>
      </c>
      <c r="V28" s="65">
        <f t="shared" si="98"/>
        <v>0</v>
      </c>
      <c r="W28" s="65">
        <f t="shared" si="98"/>
        <v>0</v>
      </c>
      <c r="X28" s="65">
        <f t="shared" si="98"/>
        <v>0</v>
      </c>
      <c r="Y28" s="65">
        <f t="shared" si="98"/>
        <v>0</v>
      </c>
      <c r="Z28" s="65">
        <f>IF(Z24-Z27&lt;0,Z24-Z27,0)</f>
        <v>0</v>
      </c>
      <c r="AA28" s="65">
        <f t="shared" ref="AA28:AK28" si="99">IF(AA24-AA27&lt;0,AA24-AA27,0)</f>
        <v>0</v>
      </c>
      <c r="AB28" s="65">
        <f t="shared" si="99"/>
        <v>0</v>
      </c>
      <c r="AC28" s="65">
        <f t="shared" si="99"/>
        <v>0</v>
      </c>
      <c r="AD28" s="65">
        <f t="shared" si="99"/>
        <v>0</v>
      </c>
      <c r="AE28" s="65">
        <f t="shared" si="99"/>
        <v>0</v>
      </c>
      <c r="AF28" s="65">
        <f t="shared" si="99"/>
        <v>0</v>
      </c>
      <c r="AG28" s="65">
        <f t="shared" si="99"/>
        <v>0</v>
      </c>
      <c r="AH28" s="65">
        <f t="shared" si="99"/>
        <v>0</v>
      </c>
      <c r="AI28" s="65">
        <f t="shared" si="99"/>
        <v>0</v>
      </c>
      <c r="AJ28" s="65">
        <f t="shared" si="99"/>
        <v>0</v>
      </c>
      <c r="AK28" s="65">
        <f t="shared" si="99"/>
        <v>0</v>
      </c>
      <c r="AL28">
        <f>(SUM(Z28:AK28)/1000)</f>
        <v>0</v>
      </c>
      <c r="AM28" t="s">
        <v>210</v>
      </c>
    </row>
    <row r="29" spans="1:41" x14ac:dyDescent="0.25">
      <c r="A29" s="65" t="s">
        <v>215</v>
      </c>
      <c r="B29" s="65">
        <f>IF(B24-B27&gt;0,B24-B27,0)</f>
        <v>32629.101053740778</v>
      </c>
      <c r="C29" s="65">
        <f t="shared" ref="C29:M29" si="100">IF(C24-C27&gt;0,C24-C27,0)</f>
        <v>38482.016101159112</v>
      </c>
      <c r="D29" s="65">
        <f t="shared" si="100"/>
        <v>31277.506406743938</v>
      </c>
      <c r="E29" s="65">
        <f t="shared" si="100"/>
        <v>26222.593171759752</v>
      </c>
      <c r="F29" s="65">
        <f t="shared" si="100"/>
        <v>19319.933530031616</v>
      </c>
      <c r="G29" s="65">
        <f t="shared" si="100"/>
        <v>13523.723076923081</v>
      </c>
      <c r="H29" s="65">
        <f t="shared" si="100"/>
        <v>821.47692307694524</v>
      </c>
      <c r="I29" s="65">
        <f t="shared" si="100"/>
        <v>12696.61538461539</v>
      </c>
      <c r="J29" s="65">
        <f t="shared" si="100"/>
        <v>23536.305837723925</v>
      </c>
      <c r="K29" s="65">
        <f t="shared" si="100"/>
        <v>31810.97471865121</v>
      </c>
      <c r="L29" s="65">
        <f t="shared" si="100"/>
        <v>39502.146891464698</v>
      </c>
      <c r="M29" s="65">
        <f t="shared" si="100"/>
        <v>40753.58381454162</v>
      </c>
      <c r="N29" s="65">
        <f>IF(N24-N27&gt;0,N24-N27,0)</f>
        <v>40479.101053740778</v>
      </c>
      <c r="O29" s="65">
        <f t="shared" ref="O29:Y29" si="101">IF(O24-O27&gt;0,O24-O27,0)</f>
        <v>38482.016101159112</v>
      </c>
      <c r="P29" s="65">
        <f t="shared" si="101"/>
        <v>31277.506406743938</v>
      </c>
      <c r="Q29" s="65">
        <f t="shared" si="101"/>
        <v>26222.593171759752</v>
      </c>
      <c r="R29" s="65">
        <f t="shared" si="101"/>
        <v>19319.933530031616</v>
      </c>
      <c r="S29" s="65">
        <f t="shared" si="101"/>
        <v>13523.723076923081</v>
      </c>
      <c r="T29" s="65">
        <f t="shared" si="101"/>
        <v>821.47692307694524</v>
      </c>
      <c r="U29" s="65">
        <f t="shared" si="101"/>
        <v>12696.61538461539</v>
      </c>
      <c r="V29" s="65">
        <f t="shared" si="101"/>
        <v>23536.305837723925</v>
      </c>
      <c r="W29" s="65">
        <f t="shared" si="101"/>
        <v>31810.97471865121</v>
      </c>
      <c r="X29" s="65">
        <f t="shared" si="101"/>
        <v>39502.146891464698</v>
      </c>
      <c r="Y29" s="65">
        <f t="shared" si="101"/>
        <v>40753.58381454162</v>
      </c>
      <c r="Z29" s="65">
        <f>IF(Z24-Z27&gt;0,Z24-Z27,0)</f>
        <v>40479.101053740778</v>
      </c>
      <c r="AA29" s="65">
        <f t="shared" ref="AA29:AK29" si="102">IF(AA24-AA27&gt;0,AA24-AA27,0)</f>
        <v>38482.016101159112</v>
      </c>
      <c r="AB29" s="65">
        <f t="shared" si="102"/>
        <v>31277.506406743938</v>
      </c>
      <c r="AC29" s="65">
        <f t="shared" si="102"/>
        <v>26222.593171759752</v>
      </c>
      <c r="AD29" s="65">
        <f t="shared" si="102"/>
        <v>19319.933530031616</v>
      </c>
      <c r="AE29" s="65">
        <f t="shared" si="102"/>
        <v>13523.723076923081</v>
      </c>
      <c r="AF29" s="65">
        <f t="shared" si="102"/>
        <v>821.47692307694524</v>
      </c>
      <c r="AG29" s="65">
        <f t="shared" si="102"/>
        <v>12696.61538461539</v>
      </c>
      <c r="AH29" s="65">
        <f t="shared" si="102"/>
        <v>23536.305837723925</v>
      </c>
      <c r="AI29" s="65">
        <f t="shared" si="102"/>
        <v>31810.97471865121</v>
      </c>
      <c r="AJ29" s="65">
        <f t="shared" si="102"/>
        <v>39502.146891464698</v>
      </c>
      <c r="AK29" s="65">
        <f t="shared" si="102"/>
        <v>40753.58381454162</v>
      </c>
      <c r="AL29">
        <f>(SUM(Z29:AK29)/1000)</f>
        <v>318.42597691043204</v>
      </c>
      <c r="AM29" t="s">
        <v>210</v>
      </c>
    </row>
    <row r="30" spans="1:41" x14ac:dyDescent="0.25">
      <c r="A30" s="65" t="s">
        <v>222</v>
      </c>
      <c r="B30" s="65">
        <f>B24-B29</f>
        <v>14720.898946259222</v>
      </c>
      <c r="C30" s="65">
        <f t="shared" ref="C30:AK30" si="103">C24-C29</f>
        <v>16717.983898840888</v>
      </c>
      <c r="D30" s="65">
        <f t="shared" si="103"/>
        <v>23922.493593256062</v>
      </c>
      <c r="E30" s="65">
        <f t="shared" si="103"/>
        <v>28977.406828240248</v>
      </c>
      <c r="F30" s="65">
        <f t="shared" si="103"/>
        <v>35880.066469968384</v>
      </c>
      <c r="G30" s="65">
        <f t="shared" si="103"/>
        <v>41676.276923076919</v>
      </c>
      <c r="H30" s="65">
        <f t="shared" si="103"/>
        <v>45532.246153846143</v>
      </c>
      <c r="I30" s="65">
        <f t="shared" si="103"/>
        <v>42503.38461538461</v>
      </c>
      <c r="J30" s="65">
        <f t="shared" si="103"/>
        <v>31663.694162276075</v>
      </c>
      <c r="K30" s="65">
        <f t="shared" si="103"/>
        <v>23389.02528134879</v>
      </c>
      <c r="L30" s="65">
        <f t="shared" si="103"/>
        <v>15697.853108535302</v>
      </c>
      <c r="M30" s="65">
        <f t="shared" si="103"/>
        <v>14446.41618545838</v>
      </c>
      <c r="N30" s="65">
        <f t="shared" si="103"/>
        <v>14720.898946259222</v>
      </c>
      <c r="O30" s="65">
        <f t="shared" si="103"/>
        <v>16717.983898840888</v>
      </c>
      <c r="P30" s="65">
        <f t="shared" si="103"/>
        <v>23922.493593256062</v>
      </c>
      <c r="Q30" s="65">
        <f t="shared" si="103"/>
        <v>28977.406828240248</v>
      </c>
      <c r="R30" s="65">
        <f t="shared" si="103"/>
        <v>35880.066469968384</v>
      </c>
      <c r="S30" s="65">
        <f t="shared" si="103"/>
        <v>41676.276923076919</v>
      </c>
      <c r="T30" s="65">
        <f t="shared" si="103"/>
        <v>45532.246153846143</v>
      </c>
      <c r="U30" s="65">
        <f t="shared" si="103"/>
        <v>42503.38461538461</v>
      </c>
      <c r="V30" s="65">
        <f t="shared" si="103"/>
        <v>31663.694162276075</v>
      </c>
      <c r="W30" s="65">
        <f t="shared" si="103"/>
        <v>23389.02528134879</v>
      </c>
      <c r="X30" s="65">
        <f t="shared" si="103"/>
        <v>15697.853108535302</v>
      </c>
      <c r="Y30" s="65">
        <f t="shared" si="103"/>
        <v>14446.41618545838</v>
      </c>
      <c r="Z30" s="65">
        <f t="shared" si="103"/>
        <v>14720.898946259222</v>
      </c>
      <c r="AA30" s="65">
        <f t="shared" si="103"/>
        <v>16717.983898840888</v>
      </c>
      <c r="AB30" s="65">
        <f t="shared" si="103"/>
        <v>23922.493593256062</v>
      </c>
      <c r="AC30" s="65">
        <f t="shared" si="103"/>
        <v>28977.406828240248</v>
      </c>
      <c r="AD30" s="65">
        <f t="shared" si="103"/>
        <v>35880.066469968384</v>
      </c>
      <c r="AE30" s="65">
        <f t="shared" si="103"/>
        <v>41676.276923076919</v>
      </c>
      <c r="AF30" s="65">
        <f t="shared" si="103"/>
        <v>45532.246153846143</v>
      </c>
      <c r="AG30" s="65">
        <f t="shared" si="103"/>
        <v>42503.38461538461</v>
      </c>
      <c r="AH30" s="65">
        <f t="shared" si="103"/>
        <v>31663.694162276075</v>
      </c>
      <c r="AI30" s="65">
        <f t="shared" si="103"/>
        <v>23389.02528134879</v>
      </c>
      <c r="AJ30" s="65">
        <f t="shared" si="103"/>
        <v>15697.853108535302</v>
      </c>
      <c r="AK30" s="65">
        <f t="shared" si="103"/>
        <v>14446.41618545838</v>
      </c>
      <c r="AL30">
        <f>(SUM(Z30:AK30))/1000</f>
        <v>335.12774616649102</v>
      </c>
      <c r="AM30" t="s">
        <v>210</v>
      </c>
    </row>
  </sheetData>
  <sheetProtection algorithmName="SHA-512" hashValue="B580Ld/KsMKKpjcMBprxI0I4/4Z8vxAw0oVsYvDhUZxobMI6svt5cdMOPnHllK0x+NmunDqjFGN3qwWaeGFe2w==" saltValue="jswOzcdV8xDwLpscWfbsYA==" spinCount="100000"/>
  <conditionalFormatting sqref="B13:AK13">
    <cfRule type="cellIs" dxfId="6" priority="38" operator="lessThan">
      <formula>0</formula>
    </cfRule>
  </conditionalFormatting>
  <conditionalFormatting sqref="B14:AK14">
    <cfRule type="cellIs" dxfId="5" priority="37" operator="greaterThan">
      <formula>0</formula>
    </cfRule>
  </conditionalFormatting>
  <conditionalFormatting sqref="B28:AK28">
    <cfRule type="cellIs" dxfId="4" priority="2" operator="lessThan">
      <formula>0</formula>
    </cfRule>
  </conditionalFormatting>
  <conditionalFormatting sqref="B29:AK29">
    <cfRule type="cellIs" dxfId="3" priority="1" operator="greater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14</vt:i4>
      </vt:variant>
    </vt:vector>
  </HeadingPairs>
  <TitlesOfParts>
    <vt:vector size="14" baseType="lpstr">
      <vt:lpstr>APLICATIU</vt:lpstr>
      <vt:lpstr>Full1</vt:lpstr>
      <vt:lpstr>Xarxa pluviòmetres</vt:lpstr>
      <vt:lpstr>Esquema cloració</vt:lpstr>
      <vt:lpstr>Esquema UV</vt:lpstr>
      <vt:lpstr>Dades meteorològiques</vt:lpstr>
      <vt:lpstr>Aigua recollida</vt:lpstr>
      <vt:lpstr>Pluviometres_CAT</vt:lpstr>
      <vt:lpstr>Balanç anual</vt:lpstr>
      <vt:lpstr>Consum</vt:lpstr>
      <vt:lpstr>Necessitats de reg</vt:lpstr>
      <vt:lpstr>Tarifes</vt:lpstr>
      <vt:lpstr>Pressupost</vt:lpstr>
      <vt:lpstr>Formularis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Gerard Ros San Martin</dc:creator>
  <cp:lastModifiedBy>Marina Trepat Fonalleras</cp:lastModifiedBy>
  <dcterms:created xsi:type="dcterms:W3CDTF">2019-05-02T07:14:01Z</dcterms:created>
  <dcterms:modified xsi:type="dcterms:W3CDTF">2025-07-29T12:36:22Z</dcterms:modified>
</cp:coreProperties>
</file>